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2020budg\Budget Development\BUDGET MODEL\"/>
    </mc:Choice>
  </mc:AlternateContent>
  <bookViews>
    <workbookView xWindow="195" yWindow="645" windowWidth="36855" windowHeight="24360" tabRatio="950" firstSheet="8" activeTab="15"/>
  </bookViews>
  <sheets>
    <sheet name="Dashboard-Academic Allocation" sheetId="36" r:id="rId1"/>
    <sheet name="Change Log" sheetId="77" r:id="rId2"/>
    <sheet name="Service and Support Allocation" sheetId="57" r:id="rId3"/>
    <sheet name="Distribution Pools" sheetId="33" r:id="rId4"/>
    <sheet name="Allocation by Category" sheetId="27" r:id="rId5"/>
    <sheet name="Pools, Rates, Reference" sheetId="34" r:id="rId6"/>
    <sheet name="Step 0 FY20 Revenue" sheetId="8" r:id="rId7"/>
    <sheet name="Step 1 Dedicated Funds" sheetId="21" r:id="rId8"/>
    <sheet name="Step 2 Productivity Split" sheetId="46" r:id="rId9"/>
    <sheet name="Step 3 Acad Product &amp; Pools" sheetId="71" r:id="rId10"/>
    <sheet name="Step 4a IM Summary" sheetId="9" r:id="rId11"/>
    <sheet name="Step 4 Contract and Reserves" sheetId="19" r:id="rId12"/>
    <sheet name="Step 5 Exec and Strategic" sheetId="20" r:id="rId13"/>
    <sheet name="Step 6a Service-Support Detail" sheetId="69" r:id="rId14"/>
    <sheet name="Step 6 Service-Support" sheetId="22" r:id="rId15"/>
    <sheet name="Step 7 Final Adjustments" sheetId="23" r:id="rId16"/>
    <sheet name="FY18 to FY20 Changes" sheetId="72" r:id="rId17"/>
    <sheet name="Compile Productivity $" sheetId="55" r:id="rId18"/>
    <sheet name="Foundation SCH" sheetId="3" r:id="rId19"/>
    <sheet name="Honors College Incentive" sheetId="49" r:id="rId20"/>
    <sheet name="Undergrad Completions" sheetId="48" r:id="rId21"/>
    <sheet name="Graduate Completions" sheetId="50" r:id="rId22"/>
    <sheet name="Interdisciplinary Graduate" sheetId="54" r:id="rId23"/>
    <sheet name="Ecampus " sheetId="51" r:id="rId24"/>
    <sheet name="Summer" sheetId="75" r:id="rId25"/>
    <sheet name="Strategic Populations" sheetId="53" r:id="rId26"/>
    <sheet name="Cascades Incentive" sheetId="56" r:id="rId27"/>
    <sheet name="Grant Data" sheetId="47" r:id="rId28"/>
    <sheet name="Degree data" sheetId="74" r:id="rId29"/>
    <sheet name="SCH data and adjusts" sheetId="73" r:id="rId30"/>
    <sheet name="Weights" sheetId="30" r:id="rId31"/>
    <sheet name="Pharmacy Vet Med" sheetId="63" r:id="rId32"/>
    <sheet name="Vet Med Target Budget" sheetId="76" r:id="rId33"/>
    <sheet name="FY19 Floor Calculations" sheetId="59" r:id="rId34"/>
    <sheet name="Community Support Funds" sheetId="65" r:id="rId35"/>
    <sheet name="Differential Tuition Allocation" sheetId="45" r:id="rId36"/>
    <sheet name="Differential Tuition History" sheetId="70" r:id="rId37"/>
    <sheet name="F&amp;A Recovery" sheetId="62" r:id="rId38"/>
    <sheet name="FY19 SSCM Allocation" sheetId="61" r:id="rId39"/>
    <sheet name="What If Tool" sheetId="67" r:id="rId40"/>
    <sheet name="What If Data" sheetId="68" r:id="rId41"/>
    <sheet name="Overhead Assessment" sheetId="38" r:id="rId42"/>
    <sheet name="OSU Strategic Fund Detail" sheetId="60" r:id="rId43"/>
    <sheet name="State Targeted Funding" sheetId="44" r:id="rId44"/>
    <sheet name="Buildings" sheetId="29" r:id="rId45"/>
    <sheet name="Space Assigned" sheetId="58" r:id="rId46"/>
  </sheets>
  <definedNames>
    <definedName name="_xlnm.Print_Area" localSheetId="0">'Dashboard-Academic Allocation'!$A$1:$X$60</definedName>
    <definedName name="_xlnm.Print_Area" localSheetId="16">'FY18 to FY20 Changes'!$A$1:$Q$59</definedName>
    <definedName name="_xlnm.Print_Area" localSheetId="10">'Step 4a IM Summary'!$A$4:$H$31</definedName>
    <definedName name="_xlnm.Print_Area" localSheetId="15">'Step 7 Final Adjustments'!$A$1:$R$59</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Q9" i="72" l="1"/>
  <c r="P9" i="72"/>
  <c r="Q40" i="72"/>
  <c r="P40" i="72"/>
  <c r="P51" i="72" l="1"/>
  <c r="H51" i="69" l="1"/>
  <c r="F51" i="69"/>
  <c r="M41" i="69"/>
  <c r="H41" i="69"/>
  <c r="F41" i="69"/>
  <c r="M31" i="69"/>
  <c r="H31" i="69"/>
  <c r="F31" i="69" l="1"/>
  <c r="T35" i="21" l="1"/>
  <c r="O35" i="21"/>
  <c r="C35" i="23"/>
  <c r="D20" i="55" l="1"/>
  <c r="L62" i="71" l="1"/>
  <c r="H6" i="46"/>
  <c r="Q39" i="51"/>
  <c r="T29" i="51" l="1"/>
  <c r="T31" i="51"/>
  <c r="Q36" i="8" l="1"/>
  <c r="Q35" i="8"/>
  <c r="R50" i="8" s="1"/>
  <c r="E11" i="34" l="1"/>
  <c r="N59" i="71"/>
  <c r="P10" i="72"/>
  <c r="P11" i="72"/>
  <c r="P12" i="72"/>
  <c r="P13" i="72"/>
  <c r="P8" i="72"/>
  <c r="P57" i="72"/>
  <c r="P56" i="72"/>
  <c r="P54" i="72"/>
  <c r="P53" i="72"/>
  <c r="P52" i="72"/>
  <c r="P50" i="72"/>
  <c r="P49" i="72"/>
  <c r="P48" i="72"/>
  <c r="P47" i="72"/>
  <c r="P46" i="72"/>
  <c r="P45" i="72"/>
  <c r="P44" i="72"/>
  <c r="P43" i="72"/>
  <c r="P42" i="72"/>
  <c r="P41" i="72"/>
  <c r="P39" i="72"/>
  <c r="P35" i="72"/>
  <c r="P34" i="72"/>
  <c r="P33" i="72"/>
  <c r="P32" i="72"/>
  <c r="P31" i="72"/>
  <c r="P30" i="72"/>
  <c r="P29" i="72"/>
  <c r="P18" i="72"/>
  <c r="P19" i="72"/>
  <c r="P20" i="72"/>
  <c r="P21" i="72"/>
  <c r="P22" i="72"/>
  <c r="P23" i="72"/>
  <c r="P24" i="72"/>
  <c r="P25" i="72"/>
  <c r="P26" i="72"/>
  <c r="P27" i="72"/>
  <c r="P17" i="72"/>
  <c r="I17" i="72"/>
  <c r="R36" i="51"/>
  <c r="Q36" i="51" l="1"/>
  <c r="T33" i="51"/>
  <c r="V7" i="21"/>
  <c r="P82" i="9"/>
  <c r="N7" i="21"/>
  <c r="K7" i="23"/>
  <c r="P8" i="23"/>
  <c r="O8" i="23"/>
  <c r="T73" i="9"/>
  <c r="R73" i="9"/>
  <c r="C7" i="20"/>
  <c r="P74" i="9" l="1"/>
  <c r="C58" i="20"/>
  <c r="C35" i="20"/>
  <c r="Z26" i="9"/>
  <c r="Z20" i="9"/>
  <c r="T31" i="9"/>
  <c r="T23" i="9"/>
  <c r="T21" i="9"/>
  <c r="P24" i="9"/>
  <c r="E10" i="71"/>
  <c r="T10" i="21" l="1"/>
  <c r="W42" i="72"/>
  <c r="W40" i="72"/>
  <c r="W39" i="72"/>
  <c r="W37" i="72"/>
  <c r="W36" i="72"/>
  <c r="W33" i="72"/>
  <c r="W29" i="72"/>
  <c r="W28" i="72"/>
  <c r="W27" i="72"/>
  <c r="D32" i="55"/>
  <c r="D54" i="55"/>
  <c r="D55" i="55" s="1"/>
  <c r="L36" i="72"/>
  <c r="L59" i="72" s="1"/>
  <c r="L58" i="72"/>
  <c r="T30" i="51" l="1"/>
  <c r="T27" i="51"/>
  <c r="R35" i="8"/>
  <c r="R33" i="51"/>
  <c r="R8" i="51"/>
  <c r="R27" i="51"/>
  <c r="B17" i="9"/>
  <c r="P71" i="9"/>
  <c r="T40" i="9"/>
  <c r="V48" i="9"/>
  <c r="V31" i="9"/>
  <c r="V24" i="9"/>
  <c r="T24" i="9"/>
  <c r="V17" i="9"/>
  <c r="V6" i="9"/>
  <c r="T6" i="9"/>
  <c r="W47" i="9"/>
  <c r="W46" i="9"/>
  <c r="W45" i="9"/>
  <c r="W44" i="9"/>
  <c r="W43" i="9"/>
  <c r="W42" i="9"/>
  <c r="T34" i="9"/>
  <c r="T33" i="9"/>
  <c r="R54" i="9"/>
  <c r="R77" i="9"/>
  <c r="P63" i="9"/>
  <c r="P70" i="9"/>
  <c r="W55" i="69"/>
  <c r="W28" i="20"/>
  <c r="W34" i="69"/>
  <c r="P69" i="9"/>
  <c r="P68" i="9"/>
  <c r="P67" i="9"/>
  <c r="P66" i="9"/>
  <c r="H2" i="69"/>
  <c r="M29" i="69"/>
  <c r="W54" i="69"/>
  <c r="W32" i="69"/>
  <c r="W41" i="69"/>
  <c r="B27" i="9"/>
  <c r="W16" i="9"/>
  <c r="W64" i="69"/>
  <c r="W28" i="69" l="1"/>
  <c r="C40" i="20" l="1"/>
  <c r="P12" i="21"/>
  <c r="P36" i="9"/>
  <c r="O37" i="9"/>
  <c r="P37" i="9" s="1"/>
  <c r="O36" i="9"/>
  <c r="T9" i="9" l="1"/>
  <c r="D51" i="69" l="1"/>
  <c r="C51" i="69"/>
  <c r="G50" i="69" l="1"/>
  <c r="F50" i="69"/>
  <c r="W49" i="69"/>
  <c r="W55" i="20" l="1"/>
  <c r="W38" i="20"/>
  <c r="R40" i="20" l="1"/>
  <c r="J38" i="69"/>
  <c r="F38" i="69"/>
  <c r="H38" i="69" s="1"/>
  <c r="F46" i="69" l="1"/>
  <c r="H46" i="69" s="1"/>
  <c r="F47" i="69" l="1"/>
  <c r="W88" i="20" l="1"/>
  <c r="W25" i="20"/>
  <c r="W24" i="20"/>
  <c r="Y80" i="20"/>
  <c r="X80" i="20"/>
  <c r="W80" i="20" l="1"/>
  <c r="X74" i="20" l="1"/>
  <c r="W34" i="72" l="1"/>
  <c r="AH57" i="57" l="1"/>
  <c r="AH56" i="57"/>
  <c r="AH55" i="57"/>
  <c r="AH54" i="57"/>
  <c r="AH53" i="57"/>
  <c r="AH52" i="57"/>
  <c r="AH51" i="57"/>
  <c r="AH50" i="57"/>
  <c r="AH49" i="57"/>
  <c r="AH48" i="57"/>
  <c r="AH47" i="57"/>
  <c r="AH46" i="57"/>
  <c r="AH45" i="57"/>
  <c r="AH44" i="57"/>
  <c r="AH43" i="57"/>
  <c r="AH42" i="57"/>
  <c r="AH41" i="57"/>
  <c r="AH40" i="57"/>
  <c r="AH39" i="57"/>
  <c r="AH34" i="57"/>
  <c r="AH33" i="57"/>
  <c r="AH32" i="57"/>
  <c r="AH31" i="57"/>
  <c r="AH30" i="57"/>
  <c r="AH29" i="57"/>
  <c r="AH28" i="57"/>
  <c r="AH27" i="57"/>
  <c r="AH26" i="57"/>
  <c r="AH25" i="57"/>
  <c r="AH24" i="57"/>
  <c r="AH23" i="57"/>
  <c r="AH22" i="57"/>
  <c r="AH21" i="57"/>
  <c r="AH20" i="57"/>
  <c r="AH19" i="57"/>
  <c r="AH18" i="57"/>
  <c r="AH17" i="57"/>
  <c r="AH16" i="57"/>
  <c r="AH15" i="57"/>
  <c r="AH12" i="57"/>
  <c r="AH11" i="57"/>
  <c r="AH10" i="57"/>
  <c r="AH9" i="57"/>
  <c r="AH8" i="57"/>
  <c r="AH7" i="57"/>
  <c r="AH6" i="57"/>
  <c r="O58" i="72"/>
  <c r="N58" i="72"/>
  <c r="M58" i="72"/>
  <c r="J58" i="72"/>
  <c r="H58" i="72"/>
  <c r="E58" i="72"/>
  <c r="S57" i="72"/>
  <c r="T57" i="72" s="1"/>
  <c r="I57" i="72"/>
  <c r="S56" i="72"/>
  <c r="T56" i="72" s="1"/>
  <c r="I56" i="72"/>
  <c r="I55" i="72"/>
  <c r="S54" i="72"/>
  <c r="T54" i="72" s="1"/>
  <c r="I54" i="72"/>
  <c r="S53" i="72"/>
  <c r="T53" i="72" s="1"/>
  <c r="I53" i="72"/>
  <c r="S52" i="72"/>
  <c r="T52" i="72" s="1"/>
  <c r="I52" i="72"/>
  <c r="S51" i="72"/>
  <c r="T51" i="72" s="1"/>
  <c r="G51" i="72"/>
  <c r="I51" i="72" s="1"/>
  <c r="I50" i="72"/>
  <c r="S49" i="72"/>
  <c r="T49" i="72" s="1"/>
  <c r="I49" i="72"/>
  <c r="S48" i="72"/>
  <c r="T48" i="72" s="1"/>
  <c r="I48" i="72"/>
  <c r="S47" i="72"/>
  <c r="T47" i="72" s="1"/>
  <c r="I47" i="72"/>
  <c r="S46" i="72"/>
  <c r="T46" i="72" s="1"/>
  <c r="I46" i="72"/>
  <c r="S45" i="72"/>
  <c r="T45" i="72" s="1"/>
  <c r="G45" i="72"/>
  <c r="F45" i="72"/>
  <c r="F58" i="72" s="1"/>
  <c r="S44" i="72"/>
  <c r="T44" i="72" s="1"/>
  <c r="I44" i="72"/>
  <c r="I43" i="72"/>
  <c r="C43" i="72"/>
  <c r="C58" i="72" s="1"/>
  <c r="S42" i="72"/>
  <c r="T42" i="72" s="1"/>
  <c r="I42" i="72"/>
  <c r="S41" i="72"/>
  <c r="T41" i="72" s="1"/>
  <c r="I41" i="72"/>
  <c r="S40" i="72"/>
  <c r="I40" i="72"/>
  <c r="S39" i="72"/>
  <c r="T39" i="72" s="1"/>
  <c r="I39" i="72"/>
  <c r="O36" i="72"/>
  <c r="N36" i="72"/>
  <c r="M36" i="72"/>
  <c r="J36" i="72"/>
  <c r="H36" i="72"/>
  <c r="E36" i="72"/>
  <c r="C36" i="72"/>
  <c r="C59" i="72" s="1"/>
  <c r="S35" i="72"/>
  <c r="T35" i="72" s="1"/>
  <c r="I35" i="72"/>
  <c r="I34" i="72"/>
  <c r="I33" i="72"/>
  <c r="S32" i="72"/>
  <c r="T32" i="72" s="1"/>
  <c r="I32" i="72"/>
  <c r="S31" i="72"/>
  <c r="T31" i="72" s="1"/>
  <c r="I31" i="72"/>
  <c r="S30" i="72"/>
  <c r="T30" i="72" s="1"/>
  <c r="I30" i="72"/>
  <c r="S29" i="72"/>
  <c r="T29" i="72" s="1"/>
  <c r="I29" i="72"/>
  <c r="I28" i="72"/>
  <c r="S27" i="72"/>
  <c r="T27" i="72" s="1"/>
  <c r="I27" i="72"/>
  <c r="S26" i="72"/>
  <c r="T26" i="72" s="1"/>
  <c r="I26" i="72"/>
  <c r="S25" i="72"/>
  <c r="T25" i="72" s="1"/>
  <c r="I25" i="72"/>
  <c r="S24" i="72"/>
  <c r="T24" i="72" s="1"/>
  <c r="G24" i="72"/>
  <c r="G36" i="72" s="1"/>
  <c r="F24" i="72"/>
  <c r="F36" i="72" s="1"/>
  <c r="S23" i="72"/>
  <c r="T23" i="72" s="1"/>
  <c r="I23" i="72"/>
  <c r="S22" i="72"/>
  <c r="T22" i="72" s="1"/>
  <c r="I22" i="72"/>
  <c r="S21" i="72"/>
  <c r="T21" i="72" s="1"/>
  <c r="I21" i="72"/>
  <c r="S20" i="72"/>
  <c r="T20" i="72" s="1"/>
  <c r="I20" i="72"/>
  <c r="S19" i="72"/>
  <c r="T19" i="72" s="1"/>
  <c r="I19" i="72"/>
  <c r="S18" i="72"/>
  <c r="T18" i="72" s="1"/>
  <c r="I18" i="72"/>
  <c r="H59" i="72" l="1"/>
  <c r="O59" i="72"/>
  <c r="I24" i="72"/>
  <c r="I36" i="72"/>
  <c r="J59" i="72"/>
  <c r="F59" i="72"/>
  <c r="M59" i="72"/>
  <c r="E59" i="72"/>
  <c r="G58" i="72"/>
  <c r="S50" i="72"/>
  <c r="T50" i="72" s="1"/>
  <c r="N59" i="72"/>
  <c r="S43" i="72"/>
  <c r="T43" i="72" s="1"/>
  <c r="S34" i="72"/>
  <c r="T34" i="72" s="1"/>
  <c r="S33" i="72"/>
  <c r="T33" i="72" s="1"/>
  <c r="S17" i="72"/>
  <c r="T17" i="72" s="1"/>
  <c r="G59" i="72"/>
  <c r="I45" i="72"/>
  <c r="I58" i="72" s="1"/>
  <c r="W74" i="69"/>
  <c r="B8" i="9"/>
  <c r="C6" i="20"/>
  <c r="C6" i="22" s="1"/>
  <c r="C6" i="23" s="1"/>
  <c r="D6" i="20"/>
  <c r="D6" i="22" s="1"/>
  <c r="D6" i="23" s="1"/>
  <c r="H6" i="19"/>
  <c r="H6" i="20" s="1"/>
  <c r="H6" i="22" s="1"/>
  <c r="I6" i="19"/>
  <c r="I6" i="20"/>
  <c r="I6" i="22" s="1"/>
  <c r="J6" i="19"/>
  <c r="J6" i="20"/>
  <c r="J6" i="22"/>
  <c r="U57" i="69"/>
  <c r="U60" i="69"/>
  <c r="T35" i="23"/>
  <c r="T58" i="23"/>
  <c r="T59" i="23"/>
  <c r="G33" i="19"/>
  <c r="G33" i="20"/>
  <c r="L31" i="69" s="1"/>
  <c r="H33" i="19"/>
  <c r="H33" i="20"/>
  <c r="I33" i="19"/>
  <c r="I33" i="20"/>
  <c r="J33" i="19"/>
  <c r="J33" i="20"/>
  <c r="W17" i="69"/>
  <c r="Q31" i="69" s="1"/>
  <c r="B15" i="20"/>
  <c r="B15" i="22"/>
  <c r="B15" i="23" s="1"/>
  <c r="C15" i="20"/>
  <c r="C15" i="22" s="1"/>
  <c r="C15" i="23" s="1"/>
  <c r="D15" i="22"/>
  <c r="D15" i="23" s="1"/>
  <c r="G15" i="22"/>
  <c r="H15" i="22"/>
  <c r="I15" i="22"/>
  <c r="J15" i="22"/>
  <c r="P51" i="9"/>
  <c r="O52" i="9"/>
  <c r="P52" i="9" s="1"/>
  <c r="P53" i="9"/>
  <c r="P54" i="9"/>
  <c r="P39" i="9"/>
  <c r="P76" i="9"/>
  <c r="O77" i="9"/>
  <c r="P77" i="9" s="1"/>
  <c r="W9" i="9"/>
  <c r="P40" i="9"/>
  <c r="P41" i="9"/>
  <c r="P42" i="9"/>
  <c r="P29" i="9"/>
  <c r="T11" i="9" s="1"/>
  <c r="W11" i="9" s="1"/>
  <c r="P26" i="9"/>
  <c r="T12" i="9" s="1"/>
  <c r="W12" i="9" s="1"/>
  <c r="P28" i="9"/>
  <c r="T13" i="9" s="1"/>
  <c r="P31" i="9"/>
  <c r="P32" i="9"/>
  <c r="P33" i="9"/>
  <c r="P44" i="9"/>
  <c r="P45" i="9"/>
  <c r="P46" i="9"/>
  <c r="P43" i="9"/>
  <c r="P30" i="9"/>
  <c r="T15" i="9" s="1"/>
  <c r="W15" i="9" s="1"/>
  <c r="U12" i="71"/>
  <c r="P12" i="19"/>
  <c r="P12" i="20" s="1"/>
  <c r="C12" i="19"/>
  <c r="C12" i="20" s="1"/>
  <c r="C12" i="22" s="1"/>
  <c r="C12" i="23" s="1"/>
  <c r="D12" i="20"/>
  <c r="D12" i="22" s="1"/>
  <c r="D12" i="23" s="1"/>
  <c r="G12" i="19"/>
  <c r="G12" i="20" s="1"/>
  <c r="G12" i="22" s="1"/>
  <c r="H12" i="19"/>
  <c r="H12" i="20"/>
  <c r="H12" i="22" s="1"/>
  <c r="I12" i="19"/>
  <c r="I12" i="20"/>
  <c r="I12" i="22"/>
  <c r="J12" i="19"/>
  <c r="J12" i="20" s="1"/>
  <c r="J12" i="22" s="1"/>
  <c r="P21" i="9"/>
  <c r="P22" i="9"/>
  <c r="P27" i="9"/>
  <c r="T26" i="9" s="1"/>
  <c r="W26" i="9" s="1"/>
  <c r="C11" i="19"/>
  <c r="C11" i="20" s="1"/>
  <c r="C11" i="22" s="1"/>
  <c r="C11" i="23" s="1"/>
  <c r="D11" i="20"/>
  <c r="D11" i="22" s="1"/>
  <c r="D11" i="23" s="1"/>
  <c r="G11" i="19"/>
  <c r="G11" i="20"/>
  <c r="G11" i="22" s="1"/>
  <c r="H11" i="19"/>
  <c r="H11" i="20"/>
  <c r="H11" i="22"/>
  <c r="I11" i="19"/>
  <c r="I11" i="20" s="1"/>
  <c r="I11" i="22" s="1"/>
  <c r="J11" i="19"/>
  <c r="J11" i="20" s="1"/>
  <c r="J11" i="22" s="1"/>
  <c r="H5" i="46"/>
  <c r="C10" i="19"/>
  <c r="C10" i="20" s="1"/>
  <c r="C10" i="22" s="1"/>
  <c r="C10" i="23" s="1"/>
  <c r="D10" i="20"/>
  <c r="D10" i="22" s="1"/>
  <c r="D10" i="23" s="1"/>
  <c r="B9" i="19"/>
  <c r="B9" i="20"/>
  <c r="B9" i="22" s="1"/>
  <c r="B9" i="23" s="1"/>
  <c r="C9" i="19"/>
  <c r="C9" i="20"/>
  <c r="C9" i="22" s="1"/>
  <c r="C9" i="23" s="1"/>
  <c r="D9" i="20"/>
  <c r="D9" i="22"/>
  <c r="D9" i="23" s="1"/>
  <c r="P73" i="9"/>
  <c r="P61" i="9"/>
  <c r="P65" i="9"/>
  <c r="P57" i="9"/>
  <c r="T37" i="9" s="1"/>
  <c r="W37" i="9" s="1"/>
  <c r="P58" i="9"/>
  <c r="T38" i="9" s="1"/>
  <c r="W38" i="9" s="1"/>
  <c r="P64" i="9"/>
  <c r="P62" i="9"/>
  <c r="W40" i="9" s="1"/>
  <c r="P59" i="9"/>
  <c r="T41" i="9" s="1"/>
  <c r="W41" i="9" s="1"/>
  <c r="D7" i="20"/>
  <c r="D7" i="22" s="1"/>
  <c r="D7" i="23" s="1"/>
  <c r="H7" i="19"/>
  <c r="H7" i="20" s="1"/>
  <c r="H7" i="22" s="1"/>
  <c r="I7" i="19"/>
  <c r="I7" i="20"/>
  <c r="I7" i="22" s="1"/>
  <c r="J7" i="19"/>
  <c r="J7" i="20"/>
  <c r="J7" i="22"/>
  <c r="V58" i="23"/>
  <c r="V35" i="23"/>
  <c r="D12" i="73"/>
  <c r="X19" i="3" s="1"/>
  <c r="C12" i="73"/>
  <c r="W19" i="3"/>
  <c r="E12" i="73"/>
  <c r="Y19" i="3" s="1"/>
  <c r="D34" i="73"/>
  <c r="X41" i="3" s="1"/>
  <c r="C34" i="73"/>
  <c r="W41" i="3" s="1"/>
  <c r="W34" i="73"/>
  <c r="E34" i="73" s="1"/>
  <c r="Y41" i="3" s="1"/>
  <c r="A23" i="68"/>
  <c r="C25" i="68"/>
  <c r="Z19" i="3" s="1"/>
  <c r="T25" i="68"/>
  <c r="B25" i="68"/>
  <c r="Z41" i="3"/>
  <c r="D78" i="73"/>
  <c r="X85" i="3"/>
  <c r="C78" i="73"/>
  <c r="W85" i="3" s="1"/>
  <c r="L64" i="3" s="1"/>
  <c r="L41" i="3" s="1"/>
  <c r="W78" i="73"/>
  <c r="Q78" i="73"/>
  <c r="E78" i="73" s="1"/>
  <c r="Y85" i="3" s="1"/>
  <c r="D25" i="68"/>
  <c r="Z85" i="3"/>
  <c r="Q127" i="73"/>
  <c r="E127" i="73" s="1"/>
  <c r="Y134" i="3" s="1"/>
  <c r="M64" i="3" s="1"/>
  <c r="M41" i="3" s="1"/>
  <c r="C127" i="73"/>
  <c r="W134" i="3"/>
  <c r="D127" i="73"/>
  <c r="X134" i="3" s="1"/>
  <c r="F25" i="68"/>
  <c r="Z134" i="3"/>
  <c r="AO13" i="73"/>
  <c r="P13" i="73"/>
  <c r="D13" i="73" s="1"/>
  <c r="X20" i="3" s="1"/>
  <c r="K65" i="3" s="1"/>
  <c r="K42" i="3" s="1"/>
  <c r="AN13" i="73"/>
  <c r="O13" i="73"/>
  <c r="C13" i="73" s="1"/>
  <c r="W20" i="3" s="1"/>
  <c r="AP13" i="73"/>
  <c r="Q13" i="73"/>
  <c r="E13" i="73" s="1"/>
  <c r="Y20" i="3" s="1"/>
  <c r="P35" i="73"/>
  <c r="D35" i="73"/>
  <c r="X42" i="3" s="1"/>
  <c r="O35" i="73"/>
  <c r="C35" i="73"/>
  <c r="W42" i="3"/>
  <c r="Q35" i="73"/>
  <c r="E35" i="73" s="1"/>
  <c r="Y42" i="3" s="1"/>
  <c r="C26" i="68"/>
  <c r="Z20" i="3" s="1"/>
  <c r="T26" i="68"/>
  <c r="B26" i="68"/>
  <c r="Z42" i="3"/>
  <c r="D14" i="73"/>
  <c r="X21" i="3"/>
  <c r="C14" i="73"/>
  <c r="W21" i="3" s="1"/>
  <c r="Q14" i="73"/>
  <c r="E14" i="73"/>
  <c r="Y21" i="3"/>
  <c r="D36" i="73"/>
  <c r="X43" i="3"/>
  <c r="C36" i="73"/>
  <c r="W43" i="3"/>
  <c r="Q36" i="73"/>
  <c r="E36" i="73"/>
  <c r="Y43" i="3"/>
  <c r="C27" i="68"/>
  <c r="Z21" i="3" s="1"/>
  <c r="T27" i="68"/>
  <c r="B27" i="68"/>
  <c r="Z43" i="3"/>
  <c r="AO15" i="73"/>
  <c r="P15" i="73"/>
  <c r="D15" i="73" s="1"/>
  <c r="X22" i="3" s="1"/>
  <c r="AN15" i="73"/>
  <c r="O15" i="73"/>
  <c r="C15" i="73" s="1"/>
  <c r="W22" i="3" s="1"/>
  <c r="AP15" i="73"/>
  <c r="Q15" i="73"/>
  <c r="E15" i="73" s="1"/>
  <c r="Y22" i="3" s="1"/>
  <c r="P37" i="73"/>
  <c r="D37" i="73"/>
  <c r="X44" i="3" s="1"/>
  <c r="O37" i="73"/>
  <c r="C37" i="73"/>
  <c r="W44" i="3"/>
  <c r="Q37" i="73"/>
  <c r="E37" i="73"/>
  <c r="Y44" i="3"/>
  <c r="C28" i="68"/>
  <c r="Z22" i="3" s="1"/>
  <c r="T28" i="68"/>
  <c r="B28" i="68"/>
  <c r="Z44" i="3"/>
  <c r="D16" i="73"/>
  <c r="X23" i="3"/>
  <c r="C16" i="73"/>
  <c r="W23" i="3"/>
  <c r="Q16" i="73"/>
  <c r="E16" i="73"/>
  <c r="Y23" i="3" s="1"/>
  <c r="D38" i="73"/>
  <c r="X45" i="3"/>
  <c r="C38" i="73"/>
  <c r="W45" i="3" s="1"/>
  <c r="Q38" i="73"/>
  <c r="E38" i="73"/>
  <c r="Y45" i="3"/>
  <c r="C29" i="68"/>
  <c r="T29" i="68"/>
  <c r="Z23" i="3"/>
  <c r="B29" i="68"/>
  <c r="Z45" i="3" s="1"/>
  <c r="D17" i="73"/>
  <c r="X24" i="3" s="1"/>
  <c r="C17" i="73"/>
  <c r="W24" i="3"/>
  <c r="Q17" i="73"/>
  <c r="E17" i="73" s="1"/>
  <c r="Y24" i="3" s="1"/>
  <c r="V39" i="73"/>
  <c r="D39" i="73"/>
  <c r="X46" i="3" s="1"/>
  <c r="U39" i="73"/>
  <c r="C39" i="73"/>
  <c r="W46" i="3"/>
  <c r="W39" i="73"/>
  <c r="Q39" i="73"/>
  <c r="E39" i="73"/>
  <c r="Y46" i="3"/>
  <c r="C30" i="68"/>
  <c r="T30" i="68"/>
  <c r="Z24" i="3"/>
  <c r="B30" i="68"/>
  <c r="Z46" i="3" s="1"/>
  <c r="D18" i="73"/>
  <c r="X25" i="3" s="1"/>
  <c r="C18" i="73"/>
  <c r="W25" i="3"/>
  <c r="Q18" i="73"/>
  <c r="E18" i="73" s="1"/>
  <c r="Y25" i="3" s="1"/>
  <c r="D40" i="73"/>
  <c r="X47" i="3"/>
  <c r="C40" i="73"/>
  <c r="W47" i="3"/>
  <c r="Q40" i="73"/>
  <c r="E40" i="73"/>
  <c r="Y47" i="3" s="1"/>
  <c r="C31" i="68"/>
  <c r="T31" i="68"/>
  <c r="Z25" i="3"/>
  <c r="B31" i="68"/>
  <c r="Z47" i="3"/>
  <c r="D19" i="73"/>
  <c r="X26" i="3"/>
  <c r="C19" i="73"/>
  <c r="W26" i="3"/>
  <c r="Q19" i="73"/>
  <c r="E19" i="73"/>
  <c r="Y26" i="3"/>
  <c r="D41" i="73"/>
  <c r="X48" i="3" s="1"/>
  <c r="C41" i="73"/>
  <c r="W48" i="3"/>
  <c r="Q41" i="73"/>
  <c r="E41" i="73" s="1"/>
  <c r="Y48" i="3" s="1"/>
  <c r="C32" i="68"/>
  <c r="T32" i="68"/>
  <c r="B32" i="68"/>
  <c r="Z48" i="3"/>
  <c r="D20" i="73"/>
  <c r="X27" i="3"/>
  <c r="C20" i="73"/>
  <c r="W27" i="3" s="1"/>
  <c r="Q20" i="73"/>
  <c r="E20" i="73"/>
  <c r="Y27" i="3"/>
  <c r="D42" i="73"/>
  <c r="X49" i="3"/>
  <c r="C42" i="73"/>
  <c r="W49" i="3"/>
  <c r="Q42" i="73"/>
  <c r="E42" i="73"/>
  <c r="Y49" i="3"/>
  <c r="C33" i="68"/>
  <c r="Z27" i="3" s="1"/>
  <c r="T33" i="68"/>
  <c r="B33" i="68"/>
  <c r="Z49" i="3"/>
  <c r="AO21" i="73"/>
  <c r="P21" i="73"/>
  <c r="D21" i="73" s="1"/>
  <c r="X28" i="3" s="1"/>
  <c r="AN21" i="73"/>
  <c r="O21" i="73"/>
  <c r="C21" i="73" s="1"/>
  <c r="W28" i="3" s="1"/>
  <c r="AP21" i="73"/>
  <c r="Q21" i="73"/>
  <c r="E21" i="73" s="1"/>
  <c r="Y28" i="3" s="1"/>
  <c r="P43" i="73"/>
  <c r="D43" i="73"/>
  <c r="X50" i="3" s="1"/>
  <c r="O43" i="73"/>
  <c r="C43" i="73"/>
  <c r="W50" i="3"/>
  <c r="Q43" i="73"/>
  <c r="E43" i="73"/>
  <c r="Y50" i="3"/>
  <c r="C34" i="68"/>
  <c r="Z28" i="3" s="1"/>
  <c r="T34" i="68"/>
  <c r="B34" i="68"/>
  <c r="Z50" i="3"/>
  <c r="D22" i="73"/>
  <c r="X29" i="3"/>
  <c r="C22" i="73"/>
  <c r="W29" i="3"/>
  <c r="Q22" i="73"/>
  <c r="E22" i="73"/>
  <c r="Y29" i="3" s="1"/>
  <c r="D44" i="73"/>
  <c r="X51" i="3" s="1"/>
  <c r="C44" i="73"/>
  <c r="W51" i="3" s="1"/>
  <c r="Q44" i="73"/>
  <c r="E44" i="73" s="1"/>
  <c r="Y51" i="3"/>
  <c r="C35" i="68"/>
  <c r="T35" i="68"/>
  <c r="Z29" i="3" s="1"/>
  <c r="B35" i="68"/>
  <c r="Z51" i="3" s="1"/>
  <c r="D23" i="73"/>
  <c r="X30" i="3" s="1"/>
  <c r="C23" i="73"/>
  <c r="W30" i="3" s="1"/>
  <c r="Q23" i="73"/>
  <c r="E23" i="73" s="1"/>
  <c r="Y30" i="3" s="1"/>
  <c r="D45" i="73"/>
  <c r="X52" i="3"/>
  <c r="C45" i="73"/>
  <c r="W52" i="3"/>
  <c r="Q45" i="73"/>
  <c r="E45" i="73"/>
  <c r="Y52" i="3" s="1"/>
  <c r="C24" i="68"/>
  <c r="C36" i="68" s="1"/>
  <c r="Z30" i="3" s="1"/>
  <c r="T24" i="68"/>
  <c r="T36" i="68" s="1"/>
  <c r="B24" i="68"/>
  <c r="B36" i="68"/>
  <c r="Z52" i="3" s="1"/>
  <c r="E9" i="73"/>
  <c r="Y16" i="3" s="1"/>
  <c r="K53" i="3" s="1"/>
  <c r="C9" i="73"/>
  <c r="W16" i="3" s="1"/>
  <c r="D9" i="73"/>
  <c r="X16" i="3" s="1"/>
  <c r="D25" i="73"/>
  <c r="X32" i="3"/>
  <c r="C25" i="73"/>
  <c r="W32" i="3"/>
  <c r="E25" i="73"/>
  <c r="Y32" i="3"/>
  <c r="D47" i="73"/>
  <c r="X54" i="3"/>
  <c r="C47" i="73"/>
  <c r="W54" i="3"/>
  <c r="E47" i="73"/>
  <c r="Y54" i="3"/>
  <c r="D26" i="73"/>
  <c r="X33" i="3"/>
  <c r="C26" i="73"/>
  <c r="W33" i="3"/>
  <c r="E26" i="73"/>
  <c r="Y33" i="3"/>
  <c r="D48" i="73"/>
  <c r="X55" i="3"/>
  <c r="C48" i="73"/>
  <c r="W55" i="3"/>
  <c r="E48" i="73"/>
  <c r="Y55" i="3"/>
  <c r="D27" i="73"/>
  <c r="X34" i="3"/>
  <c r="C27" i="73"/>
  <c r="W34" i="3"/>
  <c r="E27" i="73"/>
  <c r="Y34" i="3"/>
  <c r="AB52" i="73"/>
  <c r="D49" i="73"/>
  <c r="X56" i="3" s="1"/>
  <c r="AA52" i="73"/>
  <c r="C49" i="73" s="1"/>
  <c r="W56" i="3" s="1"/>
  <c r="AC52" i="73"/>
  <c r="E49" i="73"/>
  <c r="Y56" i="3" s="1"/>
  <c r="C40" i="68"/>
  <c r="T40" i="68"/>
  <c r="Z34" i="3"/>
  <c r="B40" i="68"/>
  <c r="Z56" i="3"/>
  <c r="D28" i="73"/>
  <c r="X35" i="3"/>
  <c r="C28" i="73"/>
  <c r="W35" i="3"/>
  <c r="E28" i="73"/>
  <c r="Y35" i="3"/>
  <c r="D50" i="73"/>
  <c r="X57" i="3"/>
  <c r="C50" i="73"/>
  <c r="W57" i="3"/>
  <c r="E50" i="73"/>
  <c r="Y57" i="3"/>
  <c r="D29" i="73"/>
  <c r="X36" i="3"/>
  <c r="C29" i="73"/>
  <c r="W36" i="3"/>
  <c r="E29" i="73"/>
  <c r="Y36" i="3"/>
  <c r="D51" i="73"/>
  <c r="X58" i="3"/>
  <c r="C51" i="73"/>
  <c r="W58" i="3"/>
  <c r="E51" i="73"/>
  <c r="Y58" i="3"/>
  <c r="P79" i="73"/>
  <c r="D79" i="73"/>
  <c r="X86" i="3"/>
  <c r="O79" i="73"/>
  <c r="C79" i="73"/>
  <c r="W86" i="3"/>
  <c r="Q79" i="73"/>
  <c r="E79" i="73" s="1"/>
  <c r="Y86" i="3" s="1"/>
  <c r="D26" i="68"/>
  <c r="Z86" i="3"/>
  <c r="D80" i="73"/>
  <c r="X87" i="3"/>
  <c r="C80" i="73"/>
  <c r="W87" i="3"/>
  <c r="Q80" i="73"/>
  <c r="E80" i="73"/>
  <c r="Y87" i="3" s="1"/>
  <c r="D27" i="68"/>
  <c r="Z87" i="3"/>
  <c r="P81" i="73"/>
  <c r="D81" i="73" s="1"/>
  <c r="X88" i="3" s="1"/>
  <c r="O81" i="73"/>
  <c r="C81" i="73"/>
  <c r="W88" i="3" s="1"/>
  <c r="Q81" i="73"/>
  <c r="E81" i="73" s="1"/>
  <c r="Y88" i="3"/>
  <c r="D28" i="68"/>
  <c r="Z88" i="3" s="1"/>
  <c r="D82" i="73"/>
  <c r="X89" i="3"/>
  <c r="C82" i="73"/>
  <c r="W89" i="3"/>
  <c r="Q82" i="73"/>
  <c r="E82" i="73"/>
  <c r="Y89" i="3" s="1"/>
  <c r="D29" i="68"/>
  <c r="Z89" i="3"/>
  <c r="D83" i="73"/>
  <c r="X90" i="3"/>
  <c r="U83" i="73"/>
  <c r="C83" i="73"/>
  <c r="W90" i="3" s="1"/>
  <c r="L69" i="3" s="1"/>
  <c r="L46" i="3" s="1"/>
  <c r="W83" i="73"/>
  <c r="Q83" i="73"/>
  <c r="E83" i="73"/>
  <c r="Y90" i="3" s="1"/>
  <c r="D30" i="68"/>
  <c r="Z90" i="3"/>
  <c r="D84" i="73"/>
  <c r="X91" i="3"/>
  <c r="C84" i="73"/>
  <c r="W91" i="3" s="1"/>
  <c r="Q84" i="73"/>
  <c r="E84" i="73"/>
  <c r="Y91" i="3"/>
  <c r="D31" i="68"/>
  <c r="Z91" i="3"/>
  <c r="D85" i="73"/>
  <c r="X92" i="3"/>
  <c r="C85" i="73"/>
  <c r="W92" i="3"/>
  <c r="Q85" i="73"/>
  <c r="E85" i="73"/>
  <c r="Y92" i="3"/>
  <c r="D32" i="68"/>
  <c r="Z92" i="3" s="1"/>
  <c r="D86" i="73"/>
  <c r="X93" i="3" s="1"/>
  <c r="L72" i="3" s="1"/>
  <c r="L49" i="3" s="1"/>
  <c r="C86" i="73"/>
  <c r="W93" i="3"/>
  <c r="Q86" i="73"/>
  <c r="E86" i="73" s="1"/>
  <c r="Y93" i="3" s="1"/>
  <c r="D33" i="68"/>
  <c r="Z93" i="3"/>
  <c r="P87" i="73"/>
  <c r="D87" i="73"/>
  <c r="X94" i="3" s="1"/>
  <c r="L73" i="3" s="1"/>
  <c r="L50" i="3" s="1"/>
  <c r="O87" i="73"/>
  <c r="C87" i="73"/>
  <c r="W94" i="3"/>
  <c r="Q87" i="73"/>
  <c r="E87" i="73"/>
  <c r="Y94" i="3"/>
  <c r="D34" i="68"/>
  <c r="Z94" i="3" s="1"/>
  <c r="D88" i="73"/>
  <c r="X95" i="3" s="1"/>
  <c r="C88" i="73"/>
  <c r="W95" i="3"/>
  <c r="Q88" i="73"/>
  <c r="E88" i="73" s="1"/>
  <c r="Y95" i="3" s="1"/>
  <c r="D35" i="68"/>
  <c r="Z95" i="3"/>
  <c r="D89" i="73"/>
  <c r="X96" i="3"/>
  <c r="C89" i="73"/>
  <c r="W96" i="3"/>
  <c r="Q89" i="73"/>
  <c r="E89" i="73"/>
  <c r="Y96" i="3" s="1"/>
  <c r="D24" i="68"/>
  <c r="D36" i="68"/>
  <c r="Z96" i="3"/>
  <c r="D91" i="73"/>
  <c r="X98" i="3"/>
  <c r="C91" i="73"/>
  <c r="W98" i="3"/>
  <c r="E91" i="73"/>
  <c r="Y98" i="3"/>
  <c r="D92" i="73"/>
  <c r="X99" i="3"/>
  <c r="C92" i="73"/>
  <c r="W99" i="3"/>
  <c r="E92" i="73"/>
  <c r="Y99" i="3"/>
  <c r="AB96" i="73"/>
  <c r="D93" i="73"/>
  <c r="X100" i="3" s="1"/>
  <c r="L79" i="3" s="1"/>
  <c r="L56" i="3" s="1"/>
  <c r="AA96" i="73"/>
  <c r="C93" i="73"/>
  <c r="W100" i="3"/>
  <c r="AC96" i="73"/>
  <c r="E93" i="73"/>
  <c r="Y100" i="3"/>
  <c r="D40" i="68"/>
  <c r="Z100" i="3" s="1"/>
  <c r="D94" i="73"/>
  <c r="X101" i="3" s="1"/>
  <c r="L80" i="3" s="1"/>
  <c r="L57" i="3" s="1"/>
  <c r="C94" i="73"/>
  <c r="W101" i="3"/>
  <c r="E94" i="73"/>
  <c r="Y101" i="3" s="1"/>
  <c r="D95" i="73"/>
  <c r="X102" i="3" s="1"/>
  <c r="L81" i="3" s="1"/>
  <c r="L58" i="3" s="1"/>
  <c r="C95" i="73"/>
  <c r="W102" i="3"/>
  <c r="E95" i="73"/>
  <c r="Y102" i="3" s="1"/>
  <c r="Q128" i="73"/>
  <c r="E128" i="73"/>
  <c r="Y135" i="3"/>
  <c r="O128" i="73"/>
  <c r="C128" i="73" s="1"/>
  <c r="W135" i="3" s="1"/>
  <c r="P128" i="73"/>
  <c r="D128" i="73"/>
  <c r="X135" i="3" s="1"/>
  <c r="F26" i="68"/>
  <c r="Z135" i="3"/>
  <c r="M65" i="3"/>
  <c r="M42" i="3" s="1"/>
  <c r="Q129" i="73"/>
  <c r="E129" i="73"/>
  <c r="Y136" i="3"/>
  <c r="C129" i="73"/>
  <c r="W136" i="3"/>
  <c r="D129" i="73"/>
  <c r="X136" i="3"/>
  <c r="F27" i="68"/>
  <c r="Z136" i="3"/>
  <c r="Q130" i="73"/>
  <c r="E130" i="73"/>
  <c r="Y137" i="3"/>
  <c r="O130" i="73"/>
  <c r="C130" i="73" s="1"/>
  <c r="W137" i="3" s="1"/>
  <c r="P130" i="73"/>
  <c r="D130" i="73"/>
  <c r="X137" i="3" s="1"/>
  <c r="M67" i="3" s="1"/>
  <c r="M44" i="3" s="1"/>
  <c r="F28" i="68"/>
  <c r="Z137" i="3"/>
  <c r="Q131" i="73"/>
  <c r="E131" i="73"/>
  <c r="Y138" i="3"/>
  <c r="C131" i="73"/>
  <c r="W138" i="3"/>
  <c r="D131" i="73"/>
  <c r="X138" i="3"/>
  <c r="F29" i="68"/>
  <c r="Z138" i="3"/>
  <c r="Q132" i="73"/>
  <c r="E132" i="73"/>
  <c r="Y139" i="3"/>
  <c r="U132" i="73"/>
  <c r="C132" i="73" s="1"/>
  <c r="W139" i="3" s="1"/>
  <c r="D132" i="73"/>
  <c r="X139" i="3"/>
  <c r="F30" i="68"/>
  <c r="Z139" i="3"/>
  <c r="Q133" i="73"/>
  <c r="E133" i="73"/>
  <c r="Y140" i="3"/>
  <c r="C133" i="73"/>
  <c r="W140" i="3" s="1"/>
  <c r="D133" i="73"/>
  <c r="X140" i="3"/>
  <c r="F31" i="68"/>
  <c r="Z140" i="3" s="1"/>
  <c r="Q134" i="73"/>
  <c r="E134" i="73" s="1"/>
  <c r="Y141" i="3" s="1"/>
  <c r="C134" i="73"/>
  <c r="W141" i="3"/>
  <c r="D134" i="73"/>
  <c r="X141" i="3"/>
  <c r="F32" i="68"/>
  <c r="Z141" i="3"/>
  <c r="Q135" i="73"/>
  <c r="E135" i="73"/>
  <c r="Y142" i="3" s="1"/>
  <c r="C135" i="73"/>
  <c r="W142" i="3"/>
  <c r="D135" i="73"/>
  <c r="X142" i="3" s="1"/>
  <c r="F33" i="68"/>
  <c r="Z142" i="3"/>
  <c r="M72" i="3"/>
  <c r="M49" i="3" s="1"/>
  <c r="Q136" i="73"/>
  <c r="E136" i="73"/>
  <c r="Y143" i="3"/>
  <c r="O136" i="73"/>
  <c r="C136" i="73"/>
  <c r="W143" i="3"/>
  <c r="P136" i="73"/>
  <c r="D136" i="73" s="1"/>
  <c r="X143" i="3" s="1"/>
  <c r="F34" i="68"/>
  <c r="Z143" i="3"/>
  <c r="Q137" i="73"/>
  <c r="E137" i="73"/>
  <c r="Y144" i="3" s="1"/>
  <c r="M74" i="3" s="1"/>
  <c r="M51" i="3" s="1"/>
  <c r="C137" i="73"/>
  <c r="W144" i="3"/>
  <c r="D137" i="73"/>
  <c r="X144" i="3" s="1"/>
  <c r="F35" i="68"/>
  <c r="Z144" i="3"/>
  <c r="Q138" i="73"/>
  <c r="E138" i="73"/>
  <c r="Y145" i="3"/>
  <c r="C138" i="73"/>
  <c r="W145" i="3"/>
  <c r="D138" i="73"/>
  <c r="X145" i="3"/>
  <c r="F24" i="68"/>
  <c r="F36" i="68"/>
  <c r="Z145" i="3"/>
  <c r="M75" i="3"/>
  <c r="M52" i="3" s="1"/>
  <c r="E140" i="73"/>
  <c r="Y147" i="3"/>
  <c r="U52" i="73"/>
  <c r="U75" i="73"/>
  <c r="U96" i="73"/>
  <c r="U122" i="73"/>
  <c r="U140" i="73"/>
  <c r="C140" i="73" s="1"/>
  <c r="W147" i="3"/>
  <c r="V52" i="73"/>
  <c r="V75" i="73"/>
  <c r="V96" i="73"/>
  <c r="V122" i="73"/>
  <c r="E141" i="73"/>
  <c r="Y148" i="3" s="1"/>
  <c r="C141" i="73"/>
  <c r="W148" i="3"/>
  <c r="M78" i="3" s="1"/>
  <c r="M55" i="3" s="1"/>
  <c r="D141" i="73"/>
  <c r="X148" i="3" s="1"/>
  <c r="E142" i="73"/>
  <c r="Y149" i="3" s="1"/>
  <c r="C142" i="73"/>
  <c r="W149" i="3" s="1"/>
  <c r="D142" i="73"/>
  <c r="X149" i="3" s="1"/>
  <c r="F40" i="68"/>
  <c r="Z149" i="3"/>
  <c r="E143" i="73"/>
  <c r="Y150" i="3"/>
  <c r="C143" i="73"/>
  <c r="W150" i="3" s="1"/>
  <c r="M80" i="3" s="1"/>
  <c r="M57" i="3" s="1"/>
  <c r="D143" i="73"/>
  <c r="X150" i="3"/>
  <c r="E144" i="73"/>
  <c r="Y151" i="3" s="1"/>
  <c r="M81" i="3" s="1"/>
  <c r="M58" i="3" s="1"/>
  <c r="C144" i="73"/>
  <c r="W151" i="3" s="1"/>
  <c r="D144" i="73"/>
  <c r="X151" i="3"/>
  <c r="L6" i="8"/>
  <c r="L7" i="8"/>
  <c r="L8" i="8"/>
  <c r="L9" i="8"/>
  <c r="L10" i="8"/>
  <c r="L11" i="8"/>
  <c r="L12" i="8"/>
  <c r="L13" i="8"/>
  <c r="L14" i="8"/>
  <c r="L15" i="8"/>
  <c r="L16" i="8"/>
  <c r="L17" i="8"/>
  <c r="L18" i="8"/>
  <c r="L19" i="8"/>
  <c r="K20" i="8"/>
  <c r="L20" i="8"/>
  <c r="I21" i="8"/>
  <c r="L21" i="8" s="1"/>
  <c r="K22" i="8"/>
  <c r="L22" i="8"/>
  <c r="L25" i="8"/>
  <c r="L26" i="8"/>
  <c r="L27" i="8"/>
  <c r="L28" i="8"/>
  <c r="L29" i="8"/>
  <c r="L30" i="8"/>
  <c r="L31" i="8"/>
  <c r="L32" i="8"/>
  <c r="L33" i="8"/>
  <c r="L34" i="8"/>
  <c r="L35" i="8"/>
  <c r="L36" i="8"/>
  <c r="R33" i="8"/>
  <c r="I39" i="8" s="1"/>
  <c r="L39" i="8" s="1"/>
  <c r="R37" i="8"/>
  <c r="I41" i="8"/>
  <c r="L41" i="8" s="1"/>
  <c r="E44" i="68"/>
  <c r="F44" i="68" s="1"/>
  <c r="D44" i="68"/>
  <c r="E45" i="68"/>
  <c r="E24" i="68"/>
  <c r="E46" i="68" s="1"/>
  <c r="E47" i="68"/>
  <c r="F47" i="68" s="1"/>
  <c r="D47" i="68"/>
  <c r="G24" i="68"/>
  <c r="E48" i="68"/>
  <c r="F48" i="68" s="1"/>
  <c r="D48" i="68"/>
  <c r="H24" i="68"/>
  <c r="E49" i="68"/>
  <c r="F49" i="68" s="1"/>
  <c r="I24" i="68"/>
  <c r="E50" i="68"/>
  <c r="F50" i="68"/>
  <c r="J24" i="68"/>
  <c r="E51" i="68"/>
  <c r="F51" i="68"/>
  <c r="K24" i="68"/>
  <c r="E52" i="68" s="1"/>
  <c r="F52" i="68"/>
  <c r="L24" i="68"/>
  <c r="S24" i="68"/>
  <c r="E55" i="68"/>
  <c r="D56" i="68"/>
  <c r="M24" i="68"/>
  <c r="E56" i="68"/>
  <c r="D57" i="68"/>
  <c r="N24" i="68"/>
  <c r="E57" i="68"/>
  <c r="D58" i="68"/>
  <c r="O24" i="68"/>
  <c r="E58" i="68"/>
  <c r="P24" i="68"/>
  <c r="E59" i="68" s="1"/>
  <c r="F59" i="68"/>
  <c r="Q24" i="68"/>
  <c r="E60" i="68" s="1"/>
  <c r="F60" i="68" s="1"/>
  <c r="R24" i="68"/>
  <c r="E61" i="68"/>
  <c r="F61" i="68"/>
  <c r="L45" i="8"/>
  <c r="L47" i="8"/>
  <c r="L48" i="8"/>
  <c r="L49" i="8"/>
  <c r="L53" i="8"/>
  <c r="L57" i="8" s="1"/>
  <c r="L54" i="8"/>
  <c r="L55" i="8"/>
  <c r="V6" i="21"/>
  <c r="N1" i="21"/>
  <c r="O3" i="21" s="1"/>
  <c r="R3" i="21"/>
  <c r="V8" i="21"/>
  <c r="V9" i="21"/>
  <c r="V10" i="21"/>
  <c r="V11" i="21"/>
  <c r="V12" i="21"/>
  <c r="O16" i="21"/>
  <c r="Q16" i="21"/>
  <c r="S3" i="21"/>
  <c r="N21" i="21"/>
  <c r="V21" i="21" s="1"/>
  <c r="O23" i="21"/>
  <c r="N23" i="21"/>
  <c r="V23" i="21" s="1"/>
  <c r="O26" i="21"/>
  <c r="N26" i="21" s="1"/>
  <c r="V26" i="21" s="1"/>
  <c r="N28" i="21"/>
  <c r="V28" i="21" s="1"/>
  <c r="Q29" i="21"/>
  <c r="V29" i="21"/>
  <c r="Q30" i="21"/>
  <c r="N30" i="21" s="1"/>
  <c r="V30" i="21" s="1"/>
  <c r="Q31" i="21"/>
  <c r="Q32" i="21"/>
  <c r="Q33" i="21"/>
  <c r="O34" i="21"/>
  <c r="Q34" i="21"/>
  <c r="N34" i="21"/>
  <c r="V34" i="21" s="1"/>
  <c r="N48" i="21"/>
  <c r="T50" i="21"/>
  <c r="N51" i="21"/>
  <c r="V51" i="21" s="1"/>
  <c r="R53" i="21"/>
  <c r="N54" i="21"/>
  <c r="V54" i="21"/>
  <c r="D7" i="51"/>
  <c r="D8" i="51"/>
  <c r="D9" i="51"/>
  <c r="D10" i="51"/>
  <c r="D11" i="51"/>
  <c r="D12" i="51"/>
  <c r="D13" i="51"/>
  <c r="D14" i="51"/>
  <c r="D15" i="51"/>
  <c r="D16" i="51"/>
  <c r="D17" i="51"/>
  <c r="D18" i="51"/>
  <c r="D22" i="51"/>
  <c r="D23" i="51"/>
  <c r="D8" i="75"/>
  <c r="D9" i="75"/>
  <c r="D10" i="75"/>
  <c r="D11" i="75"/>
  <c r="D12" i="75"/>
  <c r="D13" i="75"/>
  <c r="D14" i="75"/>
  <c r="D15" i="75"/>
  <c r="D16" i="75"/>
  <c r="D17" i="75"/>
  <c r="D18" i="75"/>
  <c r="D19" i="75"/>
  <c r="D21" i="75"/>
  <c r="D22" i="75"/>
  <c r="D23" i="75"/>
  <c r="D24" i="75"/>
  <c r="D25" i="75"/>
  <c r="B41" i="34"/>
  <c r="B42" i="34"/>
  <c r="E6" i="34" s="1"/>
  <c r="B49" i="34"/>
  <c r="B50" i="34"/>
  <c r="B45" i="34"/>
  <c r="B46" i="34" s="1"/>
  <c r="E7" i="34" s="1"/>
  <c r="B53" i="34"/>
  <c r="B54" i="34"/>
  <c r="O12" i="49"/>
  <c r="P12" i="49"/>
  <c r="Q12" i="49"/>
  <c r="S12" i="49"/>
  <c r="O13" i="49"/>
  <c r="O14" i="49"/>
  <c r="O15" i="49"/>
  <c r="O16" i="49"/>
  <c r="O17" i="49"/>
  <c r="O18" i="49"/>
  <c r="O19" i="49"/>
  <c r="O20" i="49"/>
  <c r="O21" i="49"/>
  <c r="O22" i="49"/>
  <c r="O23" i="49"/>
  <c r="O25" i="49"/>
  <c r="O26" i="49"/>
  <c r="O27" i="49"/>
  <c r="O28" i="49"/>
  <c r="O31" i="49"/>
  <c r="P13" i="49"/>
  <c r="P14" i="49"/>
  <c r="P15" i="49"/>
  <c r="P16" i="49"/>
  <c r="P17" i="49"/>
  <c r="P18" i="49"/>
  <c r="P19" i="49"/>
  <c r="P20" i="49"/>
  <c r="P21" i="49"/>
  <c r="P22" i="49"/>
  <c r="P23" i="49"/>
  <c r="P25" i="49"/>
  <c r="P26" i="49"/>
  <c r="P27" i="49"/>
  <c r="P28" i="49"/>
  <c r="P31" i="49"/>
  <c r="Q13" i="49"/>
  <c r="Q14" i="49"/>
  <c r="Q15" i="49"/>
  <c r="Q16" i="49"/>
  <c r="Q17" i="49"/>
  <c r="Q18" i="49"/>
  <c r="Q19" i="49"/>
  <c r="Q20" i="49"/>
  <c r="Q21" i="49"/>
  <c r="Q22" i="49"/>
  <c r="Q23" i="49"/>
  <c r="Q25" i="49"/>
  <c r="Q26" i="49"/>
  <c r="Q27" i="49"/>
  <c r="Q28" i="49"/>
  <c r="Q31" i="49"/>
  <c r="S13" i="49"/>
  <c r="S14" i="49"/>
  <c r="S15" i="49"/>
  <c r="S16" i="49"/>
  <c r="S17" i="49"/>
  <c r="S18" i="49"/>
  <c r="S19" i="49"/>
  <c r="S20" i="49"/>
  <c r="S21" i="49"/>
  <c r="S22" i="49"/>
  <c r="S23" i="49"/>
  <c r="S27" i="49"/>
  <c r="C7" i="30"/>
  <c r="AB17" i="48" s="1"/>
  <c r="AD17" i="48" s="1"/>
  <c r="O42" i="48" s="1"/>
  <c r="V42" i="48"/>
  <c r="W42" i="48"/>
  <c r="X42" i="48"/>
  <c r="AG42" i="48"/>
  <c r="AH42" i="48"/>
  <c r="AF42" i="48"/>
  <c r="L25" i="68"/>
  <c r="Y42" i="48"/>
  <c r="M42" i="48"/>
  <c r="C8" i="30"/>
  <c r="AB18" i="48" s="1"/>
  <c r="AD18" i="48" s="1"/>
  <c r="O18" i="48" s="1"/>
  <c r="O43" i="48"/>
  <c r="V43" i="48"/>
  <c r="W43" i="48"/>
  <c r="X43" i="48"/>
  <c r="AG43" i="48"/>
  <c r="AH43" i="48"/>
  <c r="AF43" i="48"/>
  <c r="L26" i="68"/>
  <c r="Y43" i="48"/>
  <c r="C9" i="30"/>
  <c r="AB19" i="48"/>
  <c r="AD19" i="48"/>
  <c r="V44" i="48"/>
  <c r="W44" i="48"/>
  <c r="X44" i="48"/>
  <c r="AG44" i="48"/>
  <c r="AH44" i="48"/>
  <c r="AF44" i="48"/>
  <c r="L27" i="68"/>
  <c r="Y44" i="48" s="1"/>
  <c r="C10" i="30"/>
  <c r="AB20" i="48"/>
  <c r="AD20" i="48" s="1"/>
  <c r="V45" i="48"/>
  <c r="W45" i="48"/>
  <c r="X45" i="48"/>
  <c r="AG45" i="48"/>
  <c r="AH45" i="48"/>
  <c r="AF45" i="48"/>
  <c r="L28" i="68"/>
  <c r="Y45" i="48" s="1"/>
  <c r="AD21" i="48"/>
  <c r="V46" i="48"/>
  <c r="W46" i="48"/>
  <c r="X46" i="48"/>
  <c r="AG46" i="48"/>
  <c r="AH46" i="48"/>
  <c r="AF46" i="48"/>
  <c r="L29" i="68"/>
  <c r="Y46" i="48" s="1"/>
  <c r="C12" i="30"/>
  <c r="AB22" i="48"/>
  <c r="AD22" i="48" s="1"/>
  <c r="V47" i="48"/>
  <c r="W47" i="48"/>
  <c r="X47" i="48"/>
  <c r="AG47" i="48"/>
  <c r="AH47" i="48"/>
  <c r="AF47" i="48"/>
  <c r="L30" i="68"/>
  <c r="Y47" i="48" s="1"/>
  <c r="AD23" i="48"/>
  <c r="O48" i="48" s="1"/>
  <c r="V48" i="48"/>
  <c r="W48" i="48"/>
  <c r="X48" i="48"/>
  <c r="AG48" i="48"/>
  <c r="AH48" i="48"/>
  <c r="AF48" i="48"/>
  <c r="L31" i="68"/>
  <c r="Y48" i="48" s="1"/>
  <c r="C14" i="30"/>
  <c r="AB24" i="48"/>
  <c r="AD24" i="48" s="1"/>
  <c r="V49" i="48"/>
  <c r="W49" i="48"/>
  <c r="X49" i="48"/>
  <c r="AG49" i="48"/>
  <c r="AH49" i="48"/>
  <c r="AF49" i="48"/>
  <c r="L32" i="68"/>
  <c r="Y49" i="48"/>
  <c r="AD25" i="48"/>
  <c r="V50" i="48"/>
  <c r="W50" i="48"/>
  <c r="X50" i="48"/>
  <c r="AG50" i="48"/>
  <c r="AH50" i="48"/>
  <c r="AF50" i="48"/>
  <c r="L33" i="68"/>
  <c r="Y50" i="48" s="1"/>
  <c r="C16" i="30"/>
  <c r="AB26" i="48"/>
  <c r="AD26" i="48" s="1"/>
  <c r="V51" i="48"/>
  <c r="W51" i="48"/>
  <c r="X51" i="48"/>
  <c r="AG51" i="48"/>
  <c r="AH51" i="48"/>
  <c r="AF51" i="48"/>
  <c r="L34" i="68"/>
  <c r="Y51" i="48" s="1"/>
  <c r="C17" i="30"/>
  <c r="AB27" i="48" s="1"/>
  <c r="AD27" i="48" s="1"/>
  <c r="V52" i="48"/>
  <c r="W52" i="48"/>
  <c r="X52" i="48"/>
  <c r="AG52" i="48"/>
  <c r="AH52" i="48"/>
  <c r="AF52" i="48"/>
  <c r="L35" i="68"/>
  <c r="Y52" i="48"/>
  <c r="C18" i="30"/>
  <c r="AB28" i="48" s="1"/>
  <c r="AD28" i="48" s="1"/>
  <c r="O53" i="48"/>
  <c r="V53" i="48"/>
  <c r="W53" i="48"/>
  <c r="X53" i="48"/>
  <c r="AG53" i="48"/>
  <c r="AH53" i="48"/>
  <c r="AF53" i="48"/>
  <c r="L36" i="68"/>
  <c r="Y53" i="48"/>
  <c r="C20" i="30"/>
  <c r="AB30" i="48"/>
  <c r="AD30" i="48"/>
  <c r="C21" i="30"/>
  <c r="AB31" i="48"/>
  <c r="AD31" i="48" s="1"/>
  <c r="C22" i="30"/>
  <c r="AB32" i="48" s="1"/>
  <c r="AD32" i="48" s="1"/>
  <c r="V57" i="48"/>
  <c r="W57" i="48"/>
  <c r="X57" i="48"/>
  <c r="L40" i="68"/>
  <c r="Y57" i="48"/>
  <c r="C23" i="30"/>
  <c r="AB33" i="48"/>
  <c r="AD33" i="48"/>
  <c r="AG58" i="48"/>
  <c r="AH58" i="48"/>
  <c r="AF58" i="48"/>
  <c r="C24" i="30"/>
  <c r="AB34" i="48"/>
  <c r="AD34" i="48"/>
  <c r="E4" i="48"/>
  <c r="E5" i="48"/>
  <c r="F4" i="48"/>
  <c r="F5" i="48" s="1"/>
  <c r="O17" i="48"/>
  <c r="C57" i="73"/>
  <c r="V17" i="48"/>
  <c r="D57" i="73"/>
  <c r="W17" i="48"/>
  <c r="Q57" i="73"/>
  <c r="E57" i="73"/>
  <c r="X17" i="48"/>
  <c r="E25" i="68"/>
  <c r="Y17" i="48" s="1"/>
  <c r="AN58" i="73"/>
  <c r="O58" i="73" s="1"/>
  <c r="C58" i="73" s="1"/>
  <c r="V18" i="48" s="1"/>
  <c r="AO58" i="73"/>
  <c r="P58" i="73" s="1"/>
  <c r="D58" i="73" s="1"/>
  <c r="W18" i="48" s="1"/>
  <c r="AP58" i="73"/>
  <c r="Q58" i="73" s="1"/>
  <c r="E58" i="73" s="1"/>
  <c r="X18" i="48" s="1"/>
  <c r="E26" i="68"/>
  <c r="Y18" i="48" s="1"/>
  <c r="C59" i="73"/>
  <c r="V19" i="48" s="1"/>
  <c r="D59" i="73"/>
  <c r="W19" i="48"/>
  <c r="Q59" i="73"/>
  <c r="E59" i="73" s="1"/>
  <c r="X19" i="48" s="1"/>
  <c r="E27" i="68"/>
  <c r="Y19" i="48"/>
  <c r="AN60" i="73"/>
  <c r="O60" i="73"/>
  <c r="C60" i="73" s="1"/>
  <c r="V20" i="48" s="1"/>
  <c r="AO60" i="73"/>
  <c r="P60" i="73"/>
  <c r="D60" i="73" s="1"/>
  <c r="W20" i="48" s="1"/>
  <c r="AP60" i="73"/>
  <c r="Q60" i="73"/>
  <c r="E60" i="73" s="1"/>
  <c r="X20" i="48" s="1"/>
  <c r="E28" i="68"/>
  <c r="Y20" i="48"/>
  <c r="C61" i="73"/>
  <c r="V21" i="48"/>
  <c r="D61" i="73"/>
  <c r="W21" i="48" s="1"/>
  <c r="Q61" i="73"/>
  <c r="E61" i="73"/>
  <c r="X21" i="48" s="1"/>
  <c r="E29" i="68"/>
  <c r="Y21" i="48"/>
  <c r="C62" i="73"/>
  <c r="V22" i="48"/>
  <c r="D62" i="73"/>
  <c r="W22" i="48" s="1"/>
  <c r="Q62" i="73"/>
  <c r="E62" i="73"/>
  <c r="X22" i="48"/>
  <c r="E30" i="68"/>
  <c r="Y22" i="48" s="1"/>
  <c r="O23" i="48"/>
  <c r="C63" i="73"/>
  <c r="V23" i="48" s="1"/>
  <c r="D63" i="73"/>
  <c r="W23" i="48"/>
  <c r="Q63" i="73"/>
  <c r="E63" i="73" s="1"/>
  <c r="X23" i="48" s="1"/>
  <c r="E31" i="68"/>
  <c r="Y23" i="48" s="1"/>
  <c r="C64" i="73"/>
  <c r="V24" i="48" s="1"/>
  <c r="D64" i="73"/>
  <c r="W24" i="48"/>
  <c r="Q64" i="73"/>
  <c r="E64" i="73" s="1"/>
  <c r="X24" i="48" s="1"/>
  <c r="E32" i="68"/>
  <c r="Y24" i="48"/>
  <c r="C65" i="73"/>
  <c r="V25" i="48"/>
  <c r="D65" i="73"/>
  <c r="W25" i="48" s="1"/>
  <c r="Q65" i="73"/>
  <c r="E65" i="73"/>
  <c r="X25" i="48" s="1"/>
  <c r="E33" i="68"/>
  <c r="Y25" i="48"/>
  <c r="AN66" i="73"/>
  <c r="O66" i="73"/>
  <c r="C66" i="73"/>
  <c r="V26" i="48" s="1"/>
  <c r="AO66" i="73"/>
  <c r="P66" i="73"/>
  <c r="D66" i="73"/>
  <c r="W26" i="48" s="1"/>
  <c r="AP66" i="73"/>
  <c r="Q66" i="73"/>
  <c r="E66" i="73"/>
  <c r="X26" i="48" s="1"/>
  <c r="E34" i="68"/>
  <c r="Y26" i="48"/>
  <c r="C67" i="73"/>
  <c r="V27" i="48"/>
  <c r="D67" i="73"/>
  <c r="W27" i="48" s="1"/>
  <c r="Q67" i="73"/>
  <c r="E67" i="73"/>
  <c r="X27" i="48"/>
  <c r="E35" i="68"/>
  <c r="Y27" i="48"/>
  <c r="O28" i="48"/>
  <c r="C68" i="73"/>
  <c r="V28" i="48"/>
  <c r="D68" i="73"/>
  <c r="W28" i="48"/>
  <c r="Q68" i="73"/>
  <c r="E68" i="73"/>
  <c r="X28" i="48"/>
  <c r="E36" i="68"/>
  <c r="Y28" i="48" s="1"/>
  <c r="E40" i="68"/>
  <c r="Y32" i="48" s="1"/>
  <c r="AJ12" i="47"/>
  <c r="AJ13" i="47"/>
  <c r="AJ14" i="47"/>
  <c r="AJ31" i="47" s="1"/>
  <c r="AJ15" i="47"/>
  <c r="AJ16" i="47"/>
  <c r="AJ17" i="47"/>
  <c r="AJ18" i="47"/>
  <c r="AJ19" i="47"/>
  <c r="AJ20" i="47"/>
  <c r="AJ21" i="47"/>
  <c r="AJ22" i="47"/>
  <c r="AJ29" i="47"/>
  <c r="AJ30" i="47"/>
  <c r="AJ35" i="47"/>
  <c r="AB39" i="47"/>
  <c r="AB40" i="47"/>
  <c r="AC39" i="47"/>
  <c r="AC40" i="47"/>
  <c r="AJ40" i="47" s="1"/>
  <c r="AD39" i="47"/>
  <c r="AD40" i="47"/>
  <c r="AD37" i="47"/>
  <c r="AJ41" i="47"/>
  <c r="AJ44" i="47"/>
  <c r="AJ46" i="47"/>
  <c r="AJ48" i="47"/>
  <c r="T12" i="47"/>
  <c r="T13" i="47"/>
  <c r="T14" i="47"/>
  <c r="T15" i="47"/>
  <c r="T16" i="47"/>
  <c r="T17" i="47"/>
  <c r="T18" i="47"/>
  <c r="T19" i="47"/>
  <c r="T20" i="47"/>
  <c r="T21" i="47"/>
  <c r="T22" i="47"/>
  <c r="T29" i="47"/>
  <c r="T30" i="47"/>
  <c r="T35" i="47"/>
  <c r="L39" i="47"/>
  <c r="T39" i="47" s="1"/>
  <c r="T40" i="47"/>
  <c r="T41" i="47"/>
  <c r="T42" i="47"/>
  <c r="T44" i="47"/>
  <c r="T46" i="47"/>
  <c r="T49" i="47"/>
  <c r="AR12" i="47"/>
  <c r="AQ12" i="47"/>
  <c r="AQ13" i="47"/>
  <c r="AY13" i="47"/>
  <c r="AR14" i="47"/>
  <c r="AY14" i="47" s="1"/>
  <c r="AQ14" i="47"/>
  <c r="AR15" i="47"/>
  <c r="AQ15" i="47"/>
  <c r="AY16" i="47"/>
  <c r="AY17" i="47"/>
  <c r="AR18" i="47"/>
  <c r="AY18" i="47" s="1"/>
  <c r="AQ18" i="47"/>
  <c r="AY19" i="47"/>
  <c r="AQ20" i="47"/>
  <c r="AY20" i="47" s="1"/>
  <c r="AR21" i="47"/>
  <c r="AQ21" i="47"/>
  <c r="AY21" i="47" s="1"/>
  <c r="AR22" i="47"/>
  <c r="AY22" i="47"/>
  <c r="AY24" i="47"/>
  <c r="AY25" i="47"/>
  <c r="AR29" i="47"/>
  <c r="AQ29" i="47"/>
  <c r="AS29" i="47"/>
  <c r="AY29" i="47" s="1"/>
  <c r="AR30" i="47"/>
  <c r="AQ30" i="47"/>
  <c r="AY30" i="47"/>
  <c r="AR35" i="47"/>
  <c r="AQ35" i="47"/>
  <c r="AY35" i="47"/>
  <c r="AR37" i="47"/>
  <c r="AY37" i="47" s="1"/>
  <c r="AQ37" i="47"/>
  <c r="AP39" i="47"/>
  <c r="AY39" i="47"/>
  <c r="AP40" i="47"/>
  <c r="AY40" i="47"/>
  <c r="AQ41" i="47"/>
  <c r="AY41" i="47"/>
  <c r="AY43" i="47"/>
  <c r="AR44" i="47"/>
  <c r="AQ44" i="47"/>
  <c r="AY44" i="47"/>
  <c r="AP46" i="47"/>
  <c r="AQ46" i="47"/>
  <c r="AR46" i="47"/>
  <c r="AY46" i="47"/>
  <c r="AY49" i="47"/>
  <c r="AY50" i="47"/>
  <c r="AY51" i="47"/>
  <c r="AY53" i="47"/>
  <c r="J6" i="53"/>
  <c r="O17" i="53"/>
  <c r="Q25" i="68"/>
  <c r="Y17" i="53"/>
  <c r="M17" i="53" s="1"/>
  <c r="J5" i="53"/>
  <c r="O42" i="53"/>
  <c r="R25" i="68"/>
  <c r="Y42" i="53" s="1"/>
  <c r="J4" i="53"/>
  <c r="O65" i="53"/>
  <c r="O66" i="53" s="1"/>
  <c r="O67" i="53" s="1"/>
  <c r="P25" i="68"/>
  <c r="Y65" i="53" s="1"/>
  <c r="O18" i="53"/>
  <c r="Q26" i="68"/>
  <c r="Y18" i="53"/>
  <c r="M18" i="53"/>
  <c r="R26" i="68"/>
  <c r="Y43" i="53"/>
  <c r="P26" i="68"/>
  <c r="Y66" i="53"/>
  <c r="M66" i="53"/>
  <c r="O19" i="53"/>
  <c r="Q27" i="68"/>
  <c r="Y19" i="53"/>
  <c r="M19" i="53" s="1"/>
  <c r="R27" i="68"/>
  <c r="Y44" i="53" s="1"/>
  <c r="P27" i="68"/>
  <c r="Y67" i="53"/>
  <c r="O20" i="53"/>
  <c r="Q28" i="68"/>
  <c r="Y20" i="53" s="1"/>
  <c r="R28" i="68"/>
  <c r="Y45" i="53" s="1"/>
  <c r="O68" i="53"/>
  <c r="P28" i="68"/>
  <c r="Y68" i="53" s="1"/>
  <c r="Q29" i="68"/>
  <c r="Y21" i="53" s="1"/>
  <c r="R29" i="68"/>
  <c r="Y46" i="53" s="1"/>
  <c r="P29" i="68"/>
  <c r="Y69" i="53" s="1"/>
  <c r="Q30" i="68"/>
  <c r="Y22" i="53"/>
  <c r="R30" i="68"/>
  <c r="Y47" i="53"/>
  <c r="P30" i="68"/>
  <c r="Y70" i="53"/>
  <c r="Q31" i="68"/>
  <c r="Y23" i="53"/>
  <c r="R31" i="68"/>
  <c r="Y48" i="53" s="1"/>
  <c r="P31" i="68"/>
  <c r="Y71" i="53"/>
  <c r="Q32" i="68"/>
  <c r="Y24" i="53" s="1"/>
  <c r="R32" i="68"/>
  <c r="Y49" i="53" s="1"/>
  <c r="P32" i="68"/>
  <c r="Y72" i="53" s="1"/>
  <c r="Q33" i="68"/>
  <c r="Y25" i="53" s="1"/>
  <c r="R33" i="68"/>
  <c r="Y50" i="53" s="1"/>
  <c r="P33" i="68"/>
  <c r="Y73" i="53" s="1"/>
  <c r="Q34" i="68"/>
  <c r="Y26" i="53"/>
  <c r="R34" i="68"/>
  <c r="Y51" i="53"/>
  <c r="P34" i="68"/>
  <c r="Y74" i="53"/>
  <c r="Q35" i="68"/>
  <c r="Y27" i="53"/>
  <c r="R35" i="68"/>
  <c r="Y52" i="53" s="1"/>
  <c r="P35" i="68"/>
  <c r="Y75" i="53"/>
  <c r="Q36" i="68"/>
  <c r="Y28" i="53" s="1"/>
  <c r="R36" i="68"/>
  <c r="Y53" i="53" s="1"/>
  <c r="P36" i="68"/>
  <c r="Y76" i="53" s="1"/>
  <c r="Q40" i="68"/>
  <c r="Y32" i="53"/>
  <c r="R40" i="68"/>
  <c r="Y57" i="53" s="1"/>
  <c r="P40" i="68"/>
  <c r="Y80" i="53"/>
  <c r="Q36" i="56"/>
  <c r="R36" i="56"/>
  <c r="P36" i="56"/>
  <c r="E7" i="30"/>
  <c r="AE17" i="50"/>
  <c r="O17" i="50" s="1"/>
  <c r="V17" i="50"/>
  <c r="W17" i="50"/>
  <c r="X17" i="50"/>
  <c r="N25" i="68"/>
  <c r="Y17" i="50" s="1"/>
  <c r="D4" i="54"/>
  <c r="G12" i="54" s="1"/>
  <c r="G13" i="54" s="1"/>
  <c r="G38" i="54" s="1"/>
  <c r="D5" i="54"/>
  <c r="O52" i="54"/>
  <c r="P52" i="54" s="1"/>
  <c r="D7" i="30"/>
  <c r="AD17" i="50"/>
  <c r="O42" i="50" s="1"/>
  <c r="O65" i="50" s="1"/>
  <c r="V42" i="50"/>
  <c r="W42" i="50"/>
  <c r="X42" i="50"/>
  <c r="M25" i="68"/>
  <c r="Y42" i="50" s="1"/>
  <c r="F37" i="54"/>
  <c r="O77" i="54"/>
  <c r="P77" i="54" s="1"/>
  <c r="V65" i="50"/>
  <c r="W65" i="50"/>
  <c r="X65" i="50"/>
  <c r="O25" i="68"/>
  <c r="Y65" i="50" s="1"/>
  <c r="E8" i="30"/>
  <c r="AE18" i="50" s="1"/>
  <c r="O18" i="50" s="1"/>
  <c r="V18" i="50"/>
  <c r="W18" i="50"/>
  <c r="X18" i="50"/>
  <c r="N26" i="68"/>
  <c r="Y18" i="50"/>
  <c r="F13" i="54"/>
  <c r="D13" i="54" s="1"/>
  <c r="O53" i="54"/>
  <c r="P53" i="54"/>
  <c r="E9" i="30"/>
  <c r="AE19" i="50"/>
  <c r="O19" i="50"/>
  <c r="V19" i="50"/>
  <c r="W19" i="50"/>
  <c r="X19" i="50"/>
  <c r="N27" i="68"/>
  <c r="Y19" i="50" s="1"/>
  <c r="F14" i="54"/>
  <c r="G14" i="54"/>
  <c r="O54" i="54"/>
  <c r="P54" i="54"/>
  <c r="E10" i="30"/>
  <c r="AE20" i="50"/>
  <c r="O20" i="50"/>
  <c r="F15" i="54" s="1"/>
  <c r="V20" i="50"/>
  <c r="W20" i="50"/>
  <c r="X20" i="50"/>
  <c r="N28" i="68"/>
  <c r="Y20" i="50"/>
  <c r="O55" i="54"/>
  <c r="P55" i="54"/>
  <c r="E11" i="30"/>
  <c r="AE21" i="50"/>
  <c r="O21" i="50" s="1"/>
  <c r="F16" i="54" s="1"/>
  <c r="V21" i="50"/>
  <c r="W21" i="50"/>
  <c r="X21" i="50"/>
  <c r="N29" i="68"/>
  <c r="Y21" i="50"/>
  <c r="O56" i="54"/>
  <c r="P56" i="54"/>
  <c r="E12" i="30"/>
  <c r="AE22" i="50"/>
  <c r="O22" i="50"/>
  <c r="F17" i="54" s="1"/>
  <c r="V22" i="50"/>
  <c r="W22" i="50"/>
  <c r="X22" i="50"/>
  <c r="N30" i="68"/>
  <c r="Y22" i="50"/>
  <c r="O57" i="54"/>
  <c r="P57" i="54"/>
  <c r="E13" i="30"/>
  <c r="AE23" i="50"/>
  <c r="O23" i="50" s="1"/>
  <c r="F18" i="54" s="1"/>
  <c r="J6" i="50"/>
  <c r="D6" i="54"/>
  <c r="O58" i="54"/>
  <c r="P58" i="54"/>
  <c r="E14" i="30"/>
  <c r="AE24" i="50"/>
  <c r="O24" i="50"/>
  <c r="V24" i="50"/>
  <c r="W24" i="50"/>
  <c r="X24" i="50"/>
  <c r="N32" i="68"/>
  <c r="Y24" i="50" s="1"/>
  <c r="O59" i="54"/>
  <c r="P59" i="54" s="1"/>
  <c r="E15" i="30"/>
  <c r="AE25" i="50" s="1"/>
  <c r="O25" i="50" s="1"/>
  <c r="V25" i="50"/>
  <c r="W25" i="50"/>
  <c r="X25" i="50"/>
  <c r="N33" i="68"/>
  <c r="Y25" i="50"/>
  <c r="O60" i="54"/>
  <c r="P60" i="54"/>
  <c r="E16" i="30"/>
  <c r="AE26" i="50"/>
  <c r="O26" i="50"/>
  <c r="V26" i="50"/>
  <c r="W26" i="50"/>
  <c r="X26" i="50"/>
  <c r="N34" i="68"/>
  <c r="Y26" i="50" s="1"/>
  <c r="O61" i="54"/>
  <c r="P61" i="54" s="1"/>
  <c r="E17" i="30"/>
  <c r="AE27" i="50" s="1"/>
  <c r="O27" i="50" s="1"/>
  <c r="V27" i="50"/>
  <c r="W27" i="50"/>
  <c r="X27" i="50"/>
  <c r="N35" i="68"/>
  <c r="Y27" i="50"/>
  <c r="F22" i="54"/>
  <c r="O62" i="54"/>
  <c r="P62" i="54"/>
  <c r="E18" i="30"/>
  <c r="AE28" i="50"/>
  <c r="O28" i="50"/>
  <c r="V28" i="50"/>
  <c r="W28" i="50"/>
  <c r="X28" i="50"/>
  <c r="N36" i="68"/>
  <c r="Y28" i="50" s="1"/>
  <c r="O63" i="54"/>
  <c r="P63" i="54" s="1"/>
  <c r="G25" i="54"/>
  <c r="D8" i="30"/>
  <c r="AD18" i="50" s="1"/>
  <c r="O43" i="50" s="1"/>
  <c r="V43" i="50"/>
  <c r="W43" i="50"/>
  <c r="X43" i="50"/>
  <c r="M26" i="68"/>
  <c r="Y43" i="50"/>
  <c r="O78" i="54"/>
  <c r="P78" i="54"/>
  <c r="D9" i="30"/>
  <c r="AD19" i="50"/>
  <c r="O44" i="50"/>
  <c r="V44" i="50"/>
  <c r="W44" i="50"/>
  <c r="X44" i="50"/>
  <c r="M27" i="68"/>
  <c r="Y44" i="50" s="1"/>
  <c r="O79" i="54"/>
  <c r="P79" i="54" s="1"/>
  <c r="D10" i="30"/>
  <c r="AD20" i="50" s="1"/>
  <c r="O45" i="50" s="1"/>
  <c r="V45" i="50"/>
  <c r="W45" i="50"/>
  <c r="X45" i="50"/>
  <c r="M28" i="68"/>
  <c r="Y45" i="50"/>
  <c r="F40" i="54"/>
  <c r="O80" i="54"/>
  <c r="P80" i="54"/>
  <c r="O13" i="50"/>
  <c r="O46" i="50"/>
  <c r="F41" i="54" s="1"/>
  <c r="V46" i="50"/>
  <c r="W46" i="50"/>
  <c r="X46" i="50"/>
  <c r="M29" i="68"/>
  <c r="Y46" i="50"/>
  <c r="O81" i="54"/>
  <c r="P81" i="54"/>
  <c r="D12" i="30"/>
  <c r="AD22" i="50"/>
  <c r="O47" i="50" s="1"/>
  <c r="F42" i="54" s="1"/>
  <c r="V47" i="50"/>
  <c r="W47" i="50"/>
  <c r="X47" i="50"/>
  <c r="M30" i="68"/>
  <c r="Y47" i="50"/>
  <c r="O82" i="54"/>
  <c r="P82" i="54"/>
  <c r="D13" i="30"/>
  <c r="AD23" i="50"/>
  <c r="O48" i="50"/>
  <c r="F43" i="54" s="1"/>
  <c r="M31" i="68"/>
  <c r="Y48" i="50" s="1"/>
  <c r="O83" i="54"/>
  <c r="P83" i="54" s="1"/>
  <c r="D14" i="30"/>
  <c r="AD24" i="50" s="1"/>
  <c r="O49" i="50" s="1"/>
  <c r="V49" i="50"/>
  <c r="W49" i="50"/>
  <c r="X49" i="50"/>
  <c r="M32" i="68"/>
  <c r="Y49" i="50" s="1"/>
  <c r="F44" i="54"/>
  <c r="O84" i="54"/>
  <c r="P84" i="54" s="1"/>
  <c r="O50" i="50"/>
  <c r="V50" i="50"/>
  <c r="W50" i="50"/>
  <c r="X50" i="50"/>
  <c r="M33" i="68"/>
  <c r="Y50" i="50" s="1"/>
  <c r="F45" i="54"/>
  <c r="O85" i="54"/>
  <c r="P85" i="54" s="1"/>
  <c r="D16" i="30"/>
  <c r="AD26" i="50" s="1"/>
  <c r="O51" i="50"/>
  <c r="V51" i="50"/>
  <c r="W51" i="50"/>
  <c r="X51" i="50"/>
  <c r="M34" i="68"/>
  <c r="Y51" i="50" s="1"/>
  <c r="O86" i="54"/>
  <c r="P86" i="54" s="1"/>
  <c r="D17" i="30"/>
  <c r="AD27" i="50" s="1"/>
  <c r="O52" i="50" s="1"/>
  <c r="V52" i="50"/>
  <c r="W52" i="50"/>
  <c r="X52" i="50"/>
  <c r="M35" i="68"/>
  <c r="Y52" i="50" s="1"/>
  <c r="O87" i="54"/>
  <c r="P87" i="54" s="1"/>
  <c r="D18" i="30"/>
  <c r="AD28" i="50" s="1"/>
  <c r="O53" i="50" s="1"/>
  <c r="V53" i="50"/>
  <c r="W53" i="50"/>
  <c r="X53" i="50"/>
  <c r="M36" i="68"/>
  <c r="Y53" i="50" s="1"/>
  <c r="O88" i="54"/>
  <c r="P88" i="54" s="1"/>
  <c r="V66" i="50"/>
  <c r="W66" i="50"/>
  <c r="X66" i="50"/>
  <c r="O26" i="68"/>
  <c r="Y66" i="50" s="1"/>
  <c r="V67" i="50"/>
  <c r="W67" i="50"/>
  <c r="X67" i="50"/>
  <c r="O27" i="68"/>
  <c r="Y67" i="50"/>
  <c r="V68" i="50"/>
  <c r="W68" i="50"/>
  <c r="X68" i="50"/>
  <c r="O28" i="68"/>
  <c r="Y68" i="50" s="1"/>
  <c r="V69" i="50"/>
  <c r="W69" i="50"/>
  <c r="X69" i="50"/>
  <c r="O29" i="68"/>
  <c r="Y69" i="50"/>
  <c r="O70" i="50"/>
  <c r="V70" i="50"/>
  <c r="W70" i="50"/>
  <c r="X70" i="50"/>
  <c r="O30" i="68"/>
  <c r="Y70" i="50" s="1"/>
  <c r="O71" i="50"/>
  <c r="M71" i="50" s="1"/>
  <c r="V71" i="50"/>
  <c r="W71" i="50"/>
  <c r="X71" i="50"/>
  <c r="O31" i="68"/>
  <c r="Y71" i="50"/>
  <c r="V72" i="50"/>
  <c r="W72" i="50"/>
  <c r="X72" i="50"/>
  <c r="O32" i="68"/>
  <c r="Y72" i="50" s="1"/>
  <c r="V73" i="50"/>
  <c r="W73" i="50"/>
  <c r="X73" i="50"/>
  <c r="O33" i="68"/>
  <c r="Y73" i="50"/>
  <c r="O74" i="50"/>
  <c r="V74" i="50"/>
  <c r="W74" i="50"/>
  <c r="X74" i="50"/>
  <c r="O34" i="68"/>
  <c r="Y74" i="50" s="1"/>
  <c r="V75" i="50"/>
  <c r="W75" i="50"/>
  <c r="X75" i="50"/>
  <c r="O35" i="68"/>
  <c r="Y75" i="50"/>
  <c r="V76" i="50"/>
  <c r="W76" i="50"/>
  <c r="X76" i="50"/>
  <c r="O36" i="68"/>
  <c r="Y76" i="50" s="1"/>
  <c r="M78" i="50"/>
  <c r="M79" i="50"/>
  <c r="M80" i="50"/>
  <c r="M81" i="50"/>
  <c r="M82" i="50"/>
  <c r="C4" i="50"/>
  <c r="D4" i="50" s="1"/>
  <c r="D5" i="50" s="1"/>
  <c r="C5" i="50"/>
  <c r="O88" i="50"/>
  <c r="M88" i="50" s="1"/>
  <c r="V88" i="50"/>
  <c r="W88" i="50"/>
  <c r="X88" i="50"/>
  <c r="G25" i="68"/>
  <c r="Y88" i="50"/>
  <c r="V89" i="50"/>
  <c r="W89" i="50"/>
  <c r="X89" i="50"/>
  <c r="G26" i="68"/>
  <c r="Y89" i="50" s="1"/>
  <c r="V90" i="50"/>
  <c r="W90" i="50"/>
  <c r="X90" i="50"/>
  <c r="G27" i="68"/>
  <c r="Y90" i="50"/>
  <c r="V91" i="50"/>
  <c r="W91" i="50"/>
  <c r="X91" i="50"/>
  <c r="G28" i="68"/>
  <c r="Y91" i="50" s="1"/>
  <c r="V92" i="50"/>
  <c r="W92" i="50"/>
  <c r="X92" i="50"/>
  <c r="G29" i="68"/>
  <c r="Y92" i="50"/>
  <c r="V93" i="50"/>
  <c r="W93" i="50"/>
  <c r="X93" i="50"/>
  <c r="G30" i="68"/>
  <c r="Y93" i="50" s="1"/>
  <c r="V94" i="50"/>
  <c r="W94" i="50"/>
  <c r="X94" i="50"/>
  <c r="G31" i="68"/>
  <c r="Y94" i="50"/>
  <c r="V95" i="50"/>
  <c r="W95" i="50"/>
  <c r="X95" i="50"/>
  <c r="G32" i="68"/>
  <c r="Y95" i="50" s="1"/>
  <c r="V96" i="50"/>
  <c r="W96" i="50"/>
  <c r="X96" i="50"/>
  <c r="G33" i="68"/>
  <c r="Y96" i="50"/>
  <c r="V97" i="50"/>
  <c r="W97" i="50"/>
  <c r="X97" i="50"/>
  <c r="G34" i="68"/>
  <c r="Y97" i="50" s="1"/>
  <c r="V98" i="50"/>
  <c r="W98" i="50"/>
  <c r="X98" i="50"/>
  <c r="G35" i="68"/>
  <c r="Y98" i="50"/>
  <c r="V99" i="50"/>
  <c r="W99" i="50"/>
  <c r="X99" i="50"/>
  <c r="G36" i="68"/>
  <c r="Y99" i="50" s="1"/>
  <c r="M101" i="50"/>
  <c r="M102" i="50"/>
  <c r="M103" i="50"/>
  <c r="M104" i="50"/>
  <c r="M105" i="50"/>
  <c r="V59" i="23"/>
  <c r="E6" i="19"/>
  <c r="E6" i="20"/>
  <c r="E6" i="22" s="1"/>
  <c r="E6" i="23" s="1"/>
  <c r="T6" i="71"/>
  <c r="O6" i="19" s="1"/>
  <c r="U6" i="71"/>
  <c r="P6" i="19" s="1"/>
  <c r="P6" i="20" s="1"/>
  <c r="P6" i="22"/>
  <c r="L6" i="23" s="1"/>
  <c r="E7" i="19"/>
  <c r="E7" i="20"/>
  <c r="E7" i="22" s="1"/>
  <c r="E7" i="23" s="1"/>
  <c r="T7" i="71"/>
  <c r="O7" i="19"/>
  <c r="O7" i="22" s="1"/>
  <c r="U7" i="71"/>
  <c r="P7" i="19" s="1"/>
  <c r="P7" i="22" s="1"/>
  <c r="L7" i="23" s="1"/>
  <c r="B8" i="19"/>
  <c r="B8" i="20"/>
  <c r="B8" i="22" s="1"/>
  <c r="B8" i="23" s="1"/>
  <c r="C16" i="20"/>
  <c r="C17" i="20"/>
  <c r="C18" i="20"/>
  <c r="C19" i="20"/>
  <c r="C20" i="20"/>
  <c r="C22" i="20"/>
  <c r="C25" i="20"/>
  <c r="C26" i="20"/>
  <c r="C39" i="20"/>
  <c r="C48" i="20"/>
  <c r="D8" i="20"/>
  <c r="D8" i="22" s="1"/>
  <c r="D8" i="23" s="1"/>
  <c r="E8" i="19"/>
  <c r="E8" i="20" s="1"/>
  <c r="E8" i="22" s="1"/>
  <c r="E8" i="23" s="1"/>
  <c r="J16" i="33" s="1"/>
  <c r="G31" i="19"/>
  <c r="G31" i="20" s="1"/>
  <c r="L29" i="69" s="1"/>
  <c r="H31" i="19"/>
  <c r="H31" i="20"/>
  <c r="I31" i="19"/>
  <c r="I31" i="20" s="1"/>
  <c r="J31" i="19"/>
  <c r="J31" i="20"/>
  <c r="G41" i="71"/>
  <c r="G41" i="20" s="1"/>
  <c r="H41" i="71"/>
  <c r="H41" i="20" s="1"/>
  <c r="I41" i="71"/>
  <c r="I41" i="20" s="1"/>
  <c r="J41" i="71"/>
  <c r="J41" i="20"/>
  <c r="G44" i="71"/>
  <c r="G44" i="20" s="1"/>
  <c r="H44" i="71"/>
  <c r="H44" i="20" s="1"/>
  <c r="I44" i="71"/>
  <c r="I44" i="20" s="1"/>
  <c r="J44" i="71"/>
  <c r="J44" i="20"/>
  <c r="G45" i="71"/>
  <c r="G45" i="20" s="1"/>
  <c r="H45" i="71"/>
  <c r="H45" i="20" s="1"/>
  <c r="I45" i="71"/>
  <c r="I45" i="20" s="1"/>
  <c r="J45" i="71"/>
  <c r="J45" i="20"/>
  <c r="G46" i="71"/>
  <c r="G46" i="20" s="1"/>
  <c r="I46" i="71"/>
  <c r="I46" i="20" s="1"/>
  <c r="J46" i="71"/>
  <c r="J46" i="20" s="1"/>
  <c r="H47" i="71"/>
  <c r="H47" i="20"/>
  <c r="I47" i="71"/>
  <c r="I47" i="20" s="1"/>
  <c r="J47" i="71"/>
  <c r="J47" i="20" s="1"/>
  <c r="H48" i="71"/>
  <c r="H48" i="20" s="1"/>
  <c r="I48" i="71"/>
  <c r="I48" i="20"/>
  <c r="J48" i="71"/>
  <c r="J48" i="20" s="1"/>
  <c r="G49" i="71"/>
  <c r="G49" i="20" s="1"/>
  <c r="H49" i="71"/>
  <c r="H49" i="20" s="1"/>
  <c r="I49" i="71"/>
  <c r="I49" i="20"/>
  <c r="J49" i="71"/>
  <c r="J49" i="20" s="1"/>
  <c r="W47" i="69"/>
  <c r="Q46" i="69" s="1"/>
  <c r="H50" i="71"/>
  <c r="H50" i="20" s="1"/>
  <c r="I50" i="71"/>
  <c r="I50" i="20"/>
  <c r="J50" i="71"/>
  <c r="J50" i="20" s="1"/>
  <c r="G51" i="71"/>
  <c r="G51" i="20"/>
  <c r="H51" i="71"/>
  <c r="H51" i="20" s="1"/>
  <c r="I51" i="71"/>
  <c r="I51" i="20"/>
  <c r="J51" i="71"/>
  <c r="J51" i="20" s="1"/>
  <c r="G52" i="71"/>
  <c r="G52" i="20"/>
  <c r="H52" i="71"/>
  <c r="H52" i="20" s="1"/>
  <c r="I52" i="71"/>
  <c r="I52" i="20"/>
  <c r="G53" i="71"/>
  <c r="G53" i="20" s="1"/>
  <c r="H53" i="71"/>
  <c r="H53" i="20"/>
  <c r="I53" i="71"/>
  <c r="I53" i="20" s="1"/>
  <c r="G54" i="71"/>
  <c r="G54" i="20"/>
  <c r="H54" i="71"/>
  <c r="H54" i="20" s="1"/>
  <c r="I54" i="71"/>
  <c r="I54" i="20"/>
  <c r="J54" i="71"/>
  <c r="J54" i="20" s="1"/>
  <c r="G56" i="71"/>
  <c r="G56" i="20"/>
  <c r="H56" i="71"/>
  <c r="H56" i="20" s="1"/>
  <c r="I56" i="71"/>
  <c r="I56" i="20"/>
  <c r="J56" i="71"/>
  <c r="J56" i="20" s="1"/>
  <c r="G57" i="71"/>
  <c r="G57" i="20"/>
  <c r="H57" i="71"/>
  <c r="H57" i="20" s="1"/>
  <c r="I57" i="71"/>
  <c r="I57" i="20"/>
  <c r="J57" i="71"/>
  <c r="J57" i="20" s="1"/>
  <c r="F54" i="69"/>
  <c r="H54" i="69" s="1"/>
  <c r="W76" i="69"/>
  <c r="Q54" i="69" s="1"/>
  <c r="E29" i="69"/>
  <c r="F29" i="69" s="1"/>
  <c r="W12" i="69"/>
  <c r="Q29" i="69" s="1"/>
  <c r="W25" i="69"/>
  <c r="Q38" i="69" s="1"/>
  <c r="Q41" i="69"/>
  <c r="E42" i="69"/>
  <c r="Q42" i="69"/>
  <c r="F43" i="69"/>
  <c r="H43" i="69" s="1"/>
  <c r="Q43" i="69"/>
  <c r="F44" i="69"/>
  <c r="H44" i="69" s="1"/>
  <c r="Q44" i="69"/>
  <c r="D45" i="69"/>
  <c r="F45" i="69" s="1"/>
  <c r="W46" i="69"/>
  <c r="Q45" i="69" s="1"/>
  <c r="W48" i="69"/>
  <c r="Q47" i="69" s="1"/>
  <c r="E48" i="69"/>
  <c r="Q48" i="69"/>
  <c r="D49" i="69"/>
  <c r="Q49" i="69"/>
  <c r="H50" i="69"/>
  <c r="Q51" i="69"/>
  <c r="F53" i="69"/>
  <c r="W75" i="69"/>
  <c r="Q53" i="69" s="1"/>
  <c r="G35" i="21"/>
  <c r="H35" i="21"/>
  <c r="I35" i="21"/>
  <c r="I58" i="21"/>
  <c r="I59" i="21" s="1"/>
  <c r="J35" i="21"/>
  <c r="B16" i="19"/>
  <c r="B16" i="20"/>
  <c r="B16" i="22" s="1"/>
  <c r="B16" i="23" s="1"/>
  <c r="B17" i="19"/>
  <c r="B17" i="20"/>
  <c r="B17" i="22" s="1"/>
  <c r="B17" i="23" s="1"/>
  <c r="B18" i="19"/>
  <c r="B18" i="20"/>
  <c r="B19" i="19"/>
  <c r="B19" i="20"/>
  <c r="B20" i="19"/>
  <c r="B20" i="20"/>
  <c r="B21" i="19"/>
  <c r="B21" i="20"/>
  <c r="B21" i="22" s="1"/>
  <c r="B21" i="23" s="1"/>
  <c r="B22" i="19"/>
  <c r="B22" i="20"/>
  <c r="B23" i="19"/>
  <c r="B23" i="20"/>
  <c r="B23" i="22" s="1"/>
  <c r="B23" i="23" s="1"/>
  <c r="B24" i="19"/>
  <c r="B24" i="20"/>
  <c r="B25" i="19"/>
  <c r="B25" i="20"/>
  <c r="B25" i="22" s="1"/>
  <c r="B26" i="19"/>
  <c r="B26" i="20"/>
  <c r="B27" i="19"/>
  <c r="B27" i="20"/>
  <c r="B27" i="22" s="1"/>
  <c r="B27" i="23" s="1"/>
  <c r="B28" i="19"/>
  <c r="B28" i="20"/>
  <c r="B29" i="19"/>
  <c r="B29" i="20"/>
  <c r="B29" i="22" s="1"/>
  <c r="B29" i="23" s="1"/>
  <c r="B30" i="19"/>
  <c r="B30" i="20"/>
  <c r="B31" i="19"/>
  <c r="B31" i="20"/>
  <c r="B32" i="19"/>
  <c r="B32" i="20"/>
  <c r="B33" i="19"/>
  <c r="B33" i="20"/>
  <c r="B34" i="19"/>
  <c r="B34" i="20"/>
  <c r="B39" i="20"/>
  <c r="B41" i="20"/>
  <c r="B41" i="22" s="1"/>
  <c r="B41" i="23" s="1"/>
  <c r="B42" i="20"/>
  <c r="B43" i="20"/>
  <c r="B44" i="20"/>
  <c r="B45" i="20"/>
  <c r="B45" i="22" s="1"/>
  <c r="B45" i="23" s="1"/>
  <c r="B46" i="20"/>
  <c r="B47" i="20"/>
  <c r="B48" i="20"/>
  <c r="B49" i="20"/>
  <c r="B50" i="20"/>
  <c r="B51" i="20"/>
  <c r="B52" i="20"/>
  <c r="B53" i="20"/>
  <c r="B54" i="20"/>
  <c r="B55" i="20"/>
  <c r="B56" i="20"/>
  <c r="B57" i="20"/>
  <c r="B57" i="22" s="1"/>
  <c r="B57" i="23" s="1"/>
  <c r="D35" i="20"/>
  <c r="W77" i="20"/>
  <c r="W31" i="20"/>
  <c r="W68" i="20"/>
  <c r="W32" i="20" s="1"/>
  <c r="W35" i="20"/>
  <c r="D42" i="20" s="1"/>
  <c r="W49" i="20"/>
  <c r="W50" i="20"/>
  <c r="W60" i="20"/>
  <c r="E9" i="19"/>
  <c r="E9" i="20"/>
  <c r="E9" i="22" s="1"/>
  <c r="E9" i="23" s="1"/>
  <c r="E19" i="71"/>
  <c r="E23" i="71"/>
  <c r="E34" i="71"/>
  <c r="E11" i="19"/>
  <c r="E11" i="20" s="1"/>
  <c r="E11" i="22" s="1"/>
  <c r="E11" i="23" s="1"/>
  <c r="E12" i="19"/>
  <c r="E12" i="20" s="1"/>
  <c r="E12" i="22" s="1"/>
  <c r="E12" i="23" s="1"/>
  <c r="E16" i="19"/>
  <c r="E16" i="20" s="1"/>
  <c r="E17" i="19"/>
  <c r="E17" i="20" s="1"/>
  <c r="E18" i="19"/>
  <c r="E18" i="20" s="1"/>
  <c r="E18" i="22" s="1"/>
  <c r="E18" i="23" s="1"/>
  <c r="E19" i="19"/>
  <c r="E19" i="20" s="1"/>
  <c r="E19" i="22" s="1"/>
  <c r="E19" i="23" s="1"/>
  <c r="E20" i="19"/>
  <c r="E20" i="20" s="1"/>
  <c r="E20" i="22" s="1"/>
  <c r="E20" i="23" s="1"/>
  <c r="E21" i="19"/>
  <c r="E21" i="20" s="1"/>
  <c r="E21" i="22" s="1"/>
  <c r="E21" i="23" s="1"/>
  <c r="E22" i="19"/>
  <c r="E22" i="20" s="1"/>
  <c r="E22" i="22" s="1"/>
  <c r="E22" i="23" s="1"/>
  <c r="E24" i="19"/>
  <c r="E24" i="20" s="1"/>
  <c r="E24" i="22" s="1"/>
  <c r="E24" i="23" s="1"/>
  <c r="E25" i="19"/>
  <c r="E25" i="20" s="1"/>
  <c r="E25" i="22" s="1"/>
  <c r="E26" i="19"/>
  <c r="E26" i="20" s="1"/>
  <c r="E26" i="22" s="1"/>
  <c r="E26" i="23" s="1"/>
  <c r="E27" i="19"/>
  <c r="E27" i="20" s="1"/>
  <c r="E27" i="22" s="1"/>
  <c r="E27" i="23" s="1"/>
  <c r="E28" i="19"/>
  <c r="E28" i="20" s="1"/>
  <c r="E29" i="19"/>
  <c r="E29" i="20" s="1"/>
  <c r="E30" i="19"/>
  <c r="E30" i="20" s="1"/>
  <c r="E30" i="22" s="1"/>
  <c r="E30" i="23" s="1"/>
  <c r="E31" i="19"/>
  <c r="E31" i="20" s="1"/>
  <c r="E31" i="22" s="1"/>
  <c r="E32" i="19"/>
  <c r="E32" i="20" s="1"/>
  <c r="E32" i="22" s="1"/>
  <c r="E32" i="23" s="1"/>
  <c r="E33" i="19"/>
  <c r="E33" i="20" s="1"/>
  <c r="E33" i="22" s="1"/>
  <c r="E33" i="23" s="1"/>
  <c r="E34" i="19"/>
  <c r="E34" i="20" s="1"/>
  <c r="E44" i="20"/>
  <c r="E44" i="22" s="1"/>
  <c r="E44" i="23" s="1"/>
  <c r="E45" i="20"/>
  <c r="E46" i="20"/>
  <c r="E47" i="20"/>
  <c r="E48" i="20"/>
  <c r="E49" i="20"/>
  <c r="E50" i="20"/>
  <c r="E51" i="20"/>
  <c r="E52" i="20"/>
  <c r="E53" i="20"/>
  <c r="E54" i="20"/>
  <c r="E55" i="20"/>
  <c r="E56" i="20"/>
  <c r="E57" i="20"/>
  <c r="G6" i="19"/>
  <c r="G6" i="20" s="1"/>
  <c r="G7" i="19"/>
  <c r="G7" i="20" s="1"/>
  <c r="G10" i="19"/>
  <c r="G10" i="20" s="1"/>
  <c r="G16" i="19"/>
  <c r="G16" i="20" s="1"/>
  <c r="G17" i="19"/>
  <c r="G17" i="20" s="1"/>
  <c r="G18" i="19"/>
  <c r="G18" i="20" s="1"/>
  <c r="G19" i="19"/>
  <c r="G19" i="20" s="1"/>
  <c r="G20" i="19"/>
  <c r="G20" i="20" s="1"/>
  <c r="G21" i="19"/>
  <c r="G21" i="20" s="1"/>
  <c r="G22" i="19"/>
  <c r="G22" i="20" s="1"/>
  <c r="G23" i="19"/>
  <c r="G23" i="20" s="1"/>
  <c r="G24" i="19"/>
  <c r="G24" i="20" s="1"/>
  <c r="G25" i="19"/>
  <c r="G25" i="20" s="1"/>
  <c r="G26" i="19"/>
  <c r="G26" i="20" s="1"/>
  <c r="G27" i="19"/>
  <c r="G27" i="20" s="1"/>
  <c r="G28" i="19"/>
  <c r="G28" i="20" s="1"/>
  <c r="G29" i="19"/>
  <c r="G29" i="20" s="1"/>
  <c r="G30" i="19"/>
  <c r="G30" i="20" s="1"/>
  <c r="G32" i="19"/>
  <c r="G32" i="20" s="1"/>
  <c r="G34" i="19"/>
  <c r="G34" i="20" s="1"/>
  <c r="G39" i="71"/>
  <c r="G39" i="20" s="1"/>
  <c r="G42" i="71"/>
  <c r="G42" i="20" s="1"/>
  <c r="G43" i="71"/>
  <c r="G43" i="20" s="1"/>
  <c r="G55" i="71"/>
  <c r="G55" i="20" s="1"/>
  <c r="H10" i="19"/>
  <c r="H10" i="20" s="1"/>
  <c r="H16" i="19"/>
  <c r="H16" i="20" s="1"/>
  <c r="H17" i="19"/>
  <c r="H17" i="20" s="1"/>
  <c r="H18" i="19"/>
  <c r="H18" i="20" s="1"/>
  <c r="H19" i="19"/>
  <c r="H19" i="20" s="1"/>
  <c r="H20" i="19"/>
  <c r="H20" i="20" s="1"/>
  <c r="H21" i="19"/>
  <c r="H21" i="20" s="1"/>
  <c r="H22" i="19"/>
  <c r="H22" i="20" s="1"/>
  <c r="H23" i="19"/>
  <c r="H23" i="20" s="1"/>
  <c r="H24" i="19"/>
  <c r="H24" i="20" s="1"/>
  <c r="H25" i="19"/>
  <c r="H25" i="20" s="1"/>
  <c r="H26" i="19"/>
  <c r="H26" i="20" s="1"/>
  <c r="H27" i="19"/>
  <c r="H27" i="20" s="1"/>
  <c r="H28" i="19"/>
  <c r="H28" i="20" s="1"/>
  <c r="H29" i="19"/>
  <c r="H29" i="20" s="1"/>
  <c r="H30" i="19"/>
  <c r="H30" i="20" s="1"/>
  <c r="H32" i="19"/>
  <c r="H32" i="20" s="1"/>
  <c r="H34" i="19"/>
  <c r="H34" i="20" s="1"/>
  <c r="H39" i="71"/>
  <c r="H39" i="20" s="1"/>
  <c r="H42" i="71"/>
  <c r="H42" i="20" s="1"/>
  <c r="H43" i="71"/>
  <c r="H43" i="20" s="1"/>
  <c r="H55" i="71"/>
  <c r="H55" i="20" s="1"/>
  <c r="I10" i="19"/>
  <c r="I10" i="20" s="1"/>
  <c r="I16" i="19"/>
  <c r="I16" i="20" s="1"/>
  <c r="I17" i="19"/>
  <c r="I17" i="20" s="1"/>
  <c r="I18" i="19"/>
  <c r="I18" i="20" s="1"/>
  <c r="I19" i="19"/>
  <c r="I19" i="20" s="1"/>
  <c r="I20" i="19"/>
  <c r="I20" i="20" s="1"/>
  <c r="I21" i="19"/>
  <c r="I21" i="20" s="1"/>
  <c r="I22" i="19"/>
  <c r="I22" i="20" s="1"/>
  <c r="I23" i="19"/>
  <c r="I23" i="20" s="1"/>
  <c r="I24" i="19"/>
  <c r="I24" i="20" s="1"/>
  <c r="I25" i="19"/>
  <c r="I25" i="20" s="1"/>
  <c r="I26" i="19"/>
  <c r="I26" i="20" s="1"/>
  <c r="I27" i="19"/>
  <c r="I27" i="20" s="1"/>
  <c r="I28" i="19"/>
  <c r="I28" i="20" s="1"/>
  <c r="I29" i="19"/>
  <c r="I29" i="20" s="1"/>
  <c r="I30" i="19"/>
  <c r="I30" i="20" s="1"/>
  <c r="I32" i="19"/>
  <c r="I32" i="20" s="1"/>
  <c r="I34" i="19"/>
  <c r="I34" i="20" s="1"/>
  <c r="I39" i="71"/>
  <c r="I39" i="20" s="1"/>
  <c r="I42" i="71"/>
  <c r="I42" i="20" s="1"/>
  <c r="I43" i="71"/>
  <c r="I43" i="20" s="1"/>
  <c r="I55" i="71"/>
  <c r="I55" i="20" s="1"/>
  <c r="J10" i="19"/>
  <c r="J10" i="20" s="1"/>
  <c r="J16" i="19"/>
  <c r="J16" i="20" s="1"/>
  <c r="J17" i="19"/>
  <c r="J17" i="20" s="1"/>
  <c r="J18" i="19"/>
  <c r="J18" i="20" s="1"/>
  <c r="J19" i="19"/>
  <c r="J19" i="20" s="1"/>
  <c r="J20" i="19"/>
  <c r="J20" i="20" s="1"/>
  <c r="J21" i="19"/>
  <c r="J21" i="20" s="1"/>
  <c r="J22" i="19"/>
  <c r="J22" i="20" s="1"/>
  <c r="J23" i="19"/>
  <c r="J23" i="20" s="1"/>
  <c r="J24" i="19"/>
  <c r="J24" i="20" s="1"/>
  <c r="J25" i="19"/>
  <c r="J25" i="20" s="1"/>
  <c r="J26" i="19"/>
  <c r="J26" i="20" s="1"/>
  <c r="J27" i="19"/>
  <c r="J27" i="20" s="1"/>
  <c r="J28" i="19"/>
  <c r="J28" i="20" s="1"/>
  <c r="J29" i="19"/>
  <c r="J29" i="20" s="1"/>
  <c r="J30" i="19"/>
  <c r="J30" i="20" s="1"/>
  <c r="J32" i="19"/>
  <c r="J32" i="20" s="1"/>
  <c r="J34" i="19"/>
  <c r="J34" i="20" s="1"/>
  <c r="J39" i="71"/>
  <c r="J39" i="20" s="1"/>
  <c r="J42" i="71"/>
  <c r="J42" i="20" s="1"/>
  <c r="J43" i="71"/>
  <c r="J43" i="20" s="1"/>
  <c r="J55" i="71"/>
  <c r="J55" i="20" s="1"/>
  <c r="L6" i="19"/>
  <c r="L6" i="20" s="1"/>
  <c r="L7" i="19"/>
  <c r="L7" i="20" s="1"/>
  <c r="L8" i="19"/>
  <c r="L8" i="20" s="1"/>
  <c r="L9" i="19"/>
  <c r="L9" i="20" s="1"/>
  <c r="L10" i="19"/>
  <c r="L10" i="20" s="1"/>
  <c r="L11" i="19"/>
  <c r="L11" i="20" s="1"/>
  <c r="L12" i="19"/>
  <c r="L12" i="20" s="1"/>
  <c r="O14" i="55"/>
  <c r="D14" i="55"/>
  <c r="N17" i="71" s="1"/>
  <c r="I18" i="56"/>
  <c r="O22" i="55"/>
  <c r="D15" i="55" s="1"/>
  <c r="N18" i="71"/>
  <c r="I26" i="56"/>
  <c r="O16" i="55"/>
  <c r="D16" i="55"/>
  <c r="N19" i="71" s="1"/>
  <c r="I20" i="56"/>
  <c r="O23" i="55"/>
  <c r="D17" i="55" s="1"/>
  <c r="N20" i="71" s="1"/>
  <c r="I27" i="56"/>
  <c r="O15" i="55"/>
  <c r="D18" i="55"/>
  <c r="N21" i="71" s="1"/>
  <c r="I19" i="56"/>
  <c r="O20" i="55"/>
  <c r="D19" i="55" s="1"/>
  <c r="N22" i="71"/>
  <c r="I24" i="56"/>
  <c r="O24" i="55"/>
  <c r="O27" i="55"/>
  <c r="I28" i="56"/>
  <c r="I31" i="56"/>
  <c r="O17" i="55"/>
  <c r="D21" i="55" s="1"/>
  <c r="N24" i="71"/>
  <c r="I21" i="56"/>
  <c r="O18" i="55"/>
  <c r="D22" i="55"/>
  <c r="N25" i="71" s="1"/>
  <c r="I22" i="56"/>
  <c r="O21" i="55"/>
  <c r="D23" i="55" s="1"/>
  <c r="N26" i="71" s="1"/>
  <c r="I25" i="56"/>
  <c r="L27" i="71"/>
  <c r="M27" i="71"/>
  <c r="N27" i="71"/>
  <c r="P27" i="71"/>
  <c r="Q27" i="71"/>
  <c r="O28" i="55"/>
  <c r="D25" i="55" s="1"/>
  <c r="N28" i="71"/>
  <c r="I32" i="56"/>
  <c r="L29" i="71"/>
  <c r="M29" i="71"/>
  <c r="N29" i="71"/>
  <c r="P29" i="71"/>
  <c r="Q29" i="71"/>
  <c r="L30" i="71"/>
  <c r="M30" i="71"/>
  <c r="N30" i="71"/>
  <c r="P30" i="71"/>
  <c r="Q30" i="71"/>
  <c r="L31" i="71"/>
  <c r="N31" i="71"/>
  <c r="P31" i="71"/>
  <c r="O19" i="55"/>
  <c r="D29" i="55" s="1"/>
  <c r="N32" i="71" s="1"/>
  <c r="I23" i="56"/>
  <c r="L33" i="71"/>
  <c r="M33" i="71"/>
  <c r="N33" i="71"/>
  <c r="P33" i="71"/>
  <c r="Q33" i="71"/>
  <c r="L34" i="71"/>
  <c r="M34" i="71"/>
  <c r="N34" i="71"/>
  <c r="P34" i="71"/>
  <c r="Q34" i="71"/>
  <c r="L39" i="71"/>
  <c r="M39" i="71"/>
  <c r="N39" i="71"/>
  <c r="P39" i="71"/>
  <c r="G36" i="55"/>
  <c r="Q39" i="71"/>
  <c r="L41" i="71"/>
  <c r="M41" i="71"/>
  <c r="N41" i="71"/>
  <c r="P41" i="71"/>
  <c r="G37" i="55"/>
  <c r="Q41" i="71"/>
  <c r="L42" i="71"/>
  <c r="M42" i="71"/>
  <c r="N42" i="71"/>
  <c r="P42" i="71"/>
  <c r="G38" i="55"/>
  <c r="Q42" i="71"/>
  <c r="L43" i="71"/>
  <c r="M43" i="71"/>
  <c r="N43" i="71"/>
  <c r="P43" i="71"/>
  <c r="G39" i="55"/>
  <c r="Q43" i="71"/>
  <c r="L44" i="71"/>
  <c r="M44" i="71"/>
  <c r="N44" i="71"/>
  <c r="P44" i="71"/>
  <c r="G40" i="55"/>
  <c r="Q44" i="71" s="1"/>
  <c r="O30" i="55"/>
  <c r="D41" i="55" s="1"/>
  <c r="N45" i="71" s="1"/>
  <c r="O26" i="55"/>
  <c r="I34" i="56"/>
  <c r="I30" i="56"/>
  <c r="L46" i="71"/>
  <c r="M46" i="71"/>
  <c r="N46" i="71"/>
  <c r="P46" i="71"/>
  <c r="G42" i="55"/>
  <c r="Q46" i="71" s="1"/>
  <c r="L47" i="71"/>
  <c r="M47" i="71"/>
  <c r="N47" i="71"/>
  <c r="P47" i="71"/>
  <c r="G43" i="55"/>
  <c r="Q47" i="71"/>
  <c r="L48" i="71"/>
  <c r="M48" i="71"/>
  <c r="N48" i="71"/>
  <c r="P48" i="71"/>
  <c r="G44" i="55"/>
  <c r="Q48" i="71"/>
  <c r="L49" i="71"/>
  <c r="M49" i="71"/>
  <c r="N49" i="71"/>
  <c r="P49" i="71"/>
  <c r="G45" i="55"/>
  <c r="Q49" i="71" s="1"/>
  <c r="L50" i="71"/>
  <c r="M50" i="71"/>
  <c r="N50" i="71"/>
  <c r="P50" i="71"/>
  <c r="G46" i="55"/>
  <c r="Q50" i="71" s="1"/>
  <c r="O29" i="55"/>
  <c r="D47" i="55" s="1"/>
  <c r="N51" i="71" s="1"/>
  <c r="I33" i="56"/>
  <c r="L52" i="71"/>
  <c r="M52" i="71"/>
  <c r="N52" i="71"/>
  <c r="P52" i="71"/>
  <c r="G48" i="55"/>
  <c r="Q52" i="71"/>
  <c r="L53" i="71"/>
  <c r="M53" i="71"/>
  <c r="N53" i="71"/>
  <c r="P53" i="71"/>
  <c r="G49" i="55"/>
  <c r="Q53" i="71" s="1"/>
  <c r="L54" i="71"/>
  <c r="M54" i="71"/>
  <c r="N54" i="71"/>
  <c r="P54" i="71"/>
  <c r="G50" i="55"/>
  <c r="Q54" i="71"/>
  <c r="L55" i="71"/>
  <c r="M55" i="71"/>
  <c r="N55" i="71"/>
  <c r="P55" i="71"/>
  <c r="G51" i="55"/>
  <c r="Q55" i="71" s="1"/>
  <c r="L56" i="71"/>
  <c r="M56" i="71"/>
  <c r="N56" i="71"/>
  <c r="P56" i="71"/>
  <c r="G52" i="55"/>
  <c r="Q56" i="71" s="1"/>
  <c r="L57" i="71"/>
  <c r="M57" i="71"/>
  <c r="N57" i="71"/>
  <c r="P57" i="71"/>
  <c r="G53" i="55"/>
  <c r="Q57" i="71" s="1"/>
  <c r="M35" i="20"/>
  <c r="M59" i="20" s="1"/>
  <c r="M58" i="20"/>
  <c r="O7" i="20"/>
  <c r="T8" i="71"/>
  <c r="O8" i="19"/>
  <c r="O8" i="20" s="1"/>
  <c r="T9" i="71"/>
  <c r="O9" i="19" s="1"/>
  <c r="O9" i="20"/>
  <c r="T10" i="71"/>
  <c r="O10" i="19"/>
  <c r="T11" i="71"/>
  <c r="O11" i="19"/>
  <c r="O11" i="20" s="1"/>
  <c r="T12" i="71"/>
  <c r="O12" i="19" s="1"/>
  <c r="O12" i="22" s="1"/>
  <c r="O12" i="20"/>
  <c r="O23" i="20"/>
  <c r="O29" i="20"/>
  <c r="O34" i="20"/>
  <c r="T48" i="71"/>
  <c r="O48" i="20"/>
  <c r="T51" i="71"/>
  <c r="O51" i="20"/>
  <c r="T54" i="71"/>
  <c r="O54" i="20"/>
  <c r="U8" i="71"/>
  <c r="P8" i="19"/>
  <c r="P8" i="20" s="1"/>
  <c r="U9" i="71"/>
  <c r="P9" i="19" s="1"/>
  <c r="P9" i="20" s="1"/>
  <c r="U10" i="71"/>
  <c r="P10" i="19" s="1"/>
  <c r="P10" i="20" s="1"/>
  <c r="U11" i="71"/>
  <c r="P11" i="19" s="1"/>
  <c r="P11" i="20"/>
  <c r="P16" i="20"/>
  <c r="P35" i="20" s="1"/>
  <c r="P17" i="20"/>
  <c r="P18" i="20"/>
  <c r="P19" i="20"/>
  <c r="P20" i="20"/>
  <c r="P21" i="20"/>
  <c r="P22" i="20"/>
  <c r="P23" i="20"/>
  <c r="P24" i="20"/>
  <c r="P25" i="20"/>
  <c r="P26" i="20"/>
  <c r="P27" i="20"/>
  <c r="P28" i="20"/>
  <c r="P29" i="20"/>
  <c r="P30" i="20"/>
  <c r="P31" i="20"/>
  <c r="P32" i="20"/>
  <c r="P33" i="20"/>
  <c r="P34" i="20"/>
  <c r="U39" i="71"/>
  <c r="P39" i="20" s="1"/>
  <c r="U41" i="71"/>
  <c r="P41" i="20" s="1"/>
  <c r="U42" i="71"/>
  <c r="P42" i="22" s="1"/>
  <c r="U43" i="71"/>
  <c r="P43" i="20" s="1"/>
  <c r="U44" i="71"/>
  <c r="P44" i="20" s="1"/>
  <c r="U45" i="71"/>
  <c r="P45" i="20" s="1"/>
  <c r="U46" i="71"/>
  <c r="P46" i="20" s="1"/>
  <c r="U47" i="71"/>
  <c r="P47" i="20" s="1"/>
  <c r="U48" i="71"/>
  <c r="P48" i="20" s="1"/>
  <c r="U49" i="71"/>
  <c r="P49" i="20" s="1"/>
  <c r="U50" i="71"/>
  <c r="P50" i="20" s="1"/>
  <c r="U51" i="71"/>
  <c r="P51" i="20" s="1"/>
  <c r="U52" i="71"/>
  <c r="P52" i="20" s="1"/>
  <c r="U53" i="71"/>
  <c r="P53" i="20" s="1"/>
  <c r="U54" i="71"/>
  <c r="P54" i="20" s="1"/>
  <c r="U55" i="71"/>
  <c r="P55" i="20" s="1"/>
  <c r="U56" i="71"/>
  <c r="P56" i="20" s="1"/>
  <c r="U57" i="71"/>
  <c r="P57" i="20" s="1"/>
  <c r="H8" i="19"/>
  <c r="H8" i="20" s="1"/>
  <c r="H8" i="22"/>
  <c r="I8" i="19"/>
  <c r="I8" i="20"/>
  <c r="I8" i="22" s="1"/>
  <c r="J8" i="19"/>
  <c r="J8" i="20" s="1"/>
  <c r="J8" i="22" s="1"/>
  <c r="P8" i="22"/>
  <c r="L8" i="23" s="1"/>
  <c r="C16" i="22"/>
  <c r="C16" i="23" s="1"/>
  <c r="D16" i="22"/>
  <c r="D16" i="23" s="1"/>
  <c r="E16" i="22"/>
  <c r="E16" i="23" s="1"/>
  <c r="G16" i="23"/>
  <c r="P16" i="22"/>
  <c r="L16" i="23" s="1"/>
  <c r="U2" i="59"/>
  <c r="M17" i="59"/>
  <c r="C17" i="22"/>
  <c r="C17" i="23" s="1"/>
  <c r="D17" i="22"/>
  <c r="D17" i="23" s="1"/>
  <c r="E17" i="22"/>
  <c r="E17" i="23" s="1"/>
  <c r="G17" i="23"/>
  <c r="P17" i="22"/>
  <c r="L17" i="23" s="1"/>
  <c r="M18" i="59"/>
  <c r="B18" i="22"/>
  <c r="B18" i="23" s="1"/>
  <c r="C18" i="22"/>
  <c r="C18" i="23" s="1"/>
  <c r="D18" i="22"/>
  <c r="D18" i="23" s="1"/>
  <c r="G18" i="23"/>
  <c r="P18" i="22"/>
  <c r="L18" i="23" s="1"/>
  <c r="M19" i="59"/>
  <c r="B19" i="22"/>
  <c r="B19" i="23" s="1"/>
  <c r="C19" i="22"/>
  <c r="C19" i="23" s="1"/>
  <c r="D19" i="22"/>
  <c r="D19" i="23" s="1"/>
  <c r="G19" i="23"/>
  <c r="P19" i="22"/>
  <c r="L19" i="23" s="1"/>
  <c r="M20" i="59"/>
  <c r="B20" i="22"/>
  <c r="B20" i="23" s="1"/>
  <c r="C20" i="22"/>
  <c r="C20" i="23" s="1"/>
  <c r="D20" i="22"/>
  <c r="D20" i="23" s="1"/>
  <c r="G20" i="23"/>
  <c r="P20" i="22"/>
  <c r="L20" i="23" s="1"/>
  <c r="M21" i="59"/>
  <c r="U7" i="59"/>
  <c r="C21" i="22"/>
  <c r="C21" i="23"/>
  <c r="D21" i="22"/>
  <c r="D21" i="23" s="1"/>
  <c r="G21" i="23"/>
  <c r="P21" i="22"/>
  <c r="L21" i="23" s="1"/>
  <c r="M22" i="59"/>
  <c r="B22" i="22"/>
  <c r="B22" i="23" s="1"/>
  <c r="C22" i="22"/>
  <c r="C22" i="23" s="1"/>
  <c r="D22" i="22"/>
  <c r="D22" i="23" s="1"/>
  <c r="G22" i="23"/>
  <c r="P22" i="22"/>
  <c r="L22" i="23" s="1"/>
  <c r="M23" i="59"/>
  <c r="C23" i="22"/>
  <c r="C23" i="23" s="1"/>
  <c r="D23" i="22"/>
  <c r="D23" i="23"/>
  <c r="G23" i="23"/>
  <c r="O23" i="22"/>
  <c r="K23" i="23" s="1"/>
  <c r="P23" i="22"/>
  <c r="L23" i="23" s="1"/>
  <c r="M24" i="59"/>
  <c r="S24" i="59"/>
  <c r="B24" i="22"/>
  <c r="B24" i="23" s="1"/>
  <c r="C24" i="22"/>
  <c r="C24" i="23" s="1"/>
  <c r="D24" i="22"/>
  <c r="D24" i="23" s="1"/>
  <c r="G24" i="23"/>
  <c r="P24" i="22"/>
  <c r="L24" i="23" s="1"/>
  <c r="M25" i="59"/>
  <c r="B25" i="23"/>
  <c r="C25" i="22"/>
  <c r="C25" i="23" s="1"/>
  <c r="D25" i="22"/>
  <c r="D25" i="23" s="1"/>
  <c r="E25" i="23"/>
  <c r="G25" i="23"/>
  <c r="P25" i="22"/>
  <c r="L25" i="23" s="1"/>
  <c r="M26" i="59"/>
  <c r="B26" i="22"/>
  <c r="B26" i="23" s="1"/>
  <c r="C26" i="22"/>
  <c r="C26" i="23" s="1"/>
  <c r="D26" i="22"/>
  <c r="D26" i="23" s="1"/>
  <c r="G26" i="23"/>
  <c r="P26" i="22"/>
  <c r="L26" i="23" s="1"/>
  <c r="M27" i="59"/>
  <c r="C27" i="22"/>
  <c r="C27" i="23" s="1"/>
  <c r="D27" i="22"/>
  <c r="D27" i="23" s="1"/>
  <c r="W8" i="69"/>
  <c r="C25" i="69" s="1"/>
  <c r="P27" i="22"/>
  <c r="L27" i="23" s="1"/>
  <c r="M28" i="59"/>
  <c r="T28" i="59"/>
  <c r="C29" i="22"/>
  <c r="C29" i="23" s="1"/>
  <c r="D29" i="22"/>
  <c r="D29" i="23" s="1"/>
  <c r="E29" i="22"/>
  <c r="E29" i="23" s="1"/>
  <c r="G29" i="22"/>
  <c r="G29" i="23" s="1"/>
  <c r="O29" i="22"/>
  <c r="K29" i="23" s="1"/>
  <c r="P29" i="22"/>
  <c r="L29" i="23" s="1"/>
  <c r="M30" i="59"/>
  <c r="B30" i="22"/>
  <c r="B30" i="23" s="1"/>
  <c r="C30" i="22"/>
  <c r="C30" i="23" s="1"/>
  <c r="D30" i="22"/>
  <c r="D30" i="23" s="1"/>
  <c r="G30" i="23"/>
  <c r="P30" i="22"/>
  <c r="L30" i="23" s="1"/>
  <c r="M31" i="59"/>
  <c r="B31" i="22"/>
  <c r="B31" i="23" s="1"/>
  <c r="C31" i="22"/>
  <c r="C31" i="23" s="1"/>
  <c r="D31" i="22"/>
  <c r="D31" i="23" s="1"/>
  <c r="E31" i="23"/>
  <c r="P31" i="22"/>
  <c r="L31" i="23" s="1"/>
  <c r="M32" i="59"/>
  <c r="T32" i="59"/>
  <c r="B32" i="22"/>
  <c r="B32" i="23" s="1"/>
  <c r="C32" i="22"/>
  <c r="C32" i="23" s="1"/>
  <c r="D32" i="22"/>
  <c r="D32" i="23" s="1"/>
  <c r="G32" i="23"/>
  <c r="P32" i="22"/>
  <c r="L32" i="23" s="1"/>
  <c r="M33" i="59"/>
  <c r="B33" i="22"/>
  <c r="B33" i="23" s="1"/>
  <c r="C33" i="22"/>
  <c r="C33" i="23" s="1"/>
  <c r="D33" i="22"/>
  <c r="D33" i="23" s="1"/>
  <c r="P33" i="22"/>
  <c r="L33" i="23" s="1"/>
  <c r="M34" i="59"/>
  <c r="B34" i="22"/>
  <c r="B34" i="23" s="1"/>
  <c r="C34" i="22"/>
  <c r="C34" i="23" s="1"/>
  <c r="D34" i="22"/>
  <c r="D34" i="23" s="1"/>
  <c r="E34" i="22"/>
  <c r="E34" i="23" s="1"/>
  <c r="G34" i="23"/>
  <c r="O34" i="22"/>
  <c r="K34" i="23" s="1"/>
  <c r="P34" i="22"/>
  <c r="L34" i="23" s="1"/>
  <c r="L35" i="59"/>
  <c r="M35" i="59" s="1"/>
  <c r="S35" i="59"/>
  <c r="B28" i="22"/>
  <c r="B28" i="23" s="1"/>
  <c r="C28" i="22"/>
  <c r="C28" i="23" s="1"/>
  <c r="D28" i="22"/>
  <c r="D28" i="23" s="1"/>
  <c r="E28" i="22"/>
  <c r="E28" i="23" s="1"/>
  <c r="G28" i="23"/>
  <c r="P28" i="22"/>
  <c r="L28" i="23" s="1"/>
  <c r="B39" i="22"/>
  <c r="B39" i="23" s="1"/>
  <c r="C39" i="22"/>
  <c r="E39" i="22"/>
  <c r="E39" i="23" s="1"/>
  <c r="G39" i="23"/>
  <c r="P39" i="22"/>
  <c r="L39" i="23" s="1"/>
  <c r="B40" i="22"/>
  <c r="B40" i="23" s="1"/>
  <c r="C40" i="22"/>
  <c r="C40" i="23" s="1"/>
  <c r="D40" i="22"/>
  <c r="E40" i="22"/>
  <c r="E40" i="23" s="1"/>
  <c r="G40" i="23"/>
  <c r="N40" i="71"/>
  <c r="L40" i="22"/>
  <c r="I40" i="23" s="1"/>
  <c r="O40" i="22"/>
  <c r="K40" i="23" s="1"/>
  <c r="P40" i="22"/>
  <c r="L40" i="23" s="1"/>
  <c r="C41" i="23"/>
  <c r="D41" i="22"/>
  <c r="E41" i="22"/>
  <c r="E41" i="23" s="1"/>
  <c r="B42" i="22"/>
  <c r="B42" i="23" s="1"/>
  <c r="C42" i="22"/>
  <c r="C42" i="23" s="1"/>
  <c r="D42" i="22"/>
  <c r="D42" i="23" s="1"/>
  <c r="E42" i="22"/>
  <c r="E42" i="23" s="1"/>
  <c r="G42" i="23"/>
  <c r="L42" i="23"/>
  <c r="B43" i="22"/>
  <c r="B43" i="23" s="1"/>
  <c r="C43" i="22"/>
  <c r="C43" i="23" s="1"/>
  <c r="E43" i="22"/>
  <c r="E43" i="23" s="1"/>
  <c r="G43" i="23"/>
  <c r="P43" i="22"/>
  <c r="L43" i="23" s="1"/>
  <c r="B44" i="22"/>
  <c r="B44" i="23" s="1"/>
  <c r="C44" i="22"/>
  <c r="C44" i="23" s="1"/>
  <c r="D44" i="22"/>
  <c r="P44" i="22"/>
  <c r="L44" i="23"/>
  <c r="C45" i="22"/>
  <c r="C45" i="23" s="1"/>
  <c r="D45" i="22"/>
  <c r="E45" i="22"/>
  <c r="E45" i="23"/>
  <c r="P45" i="22"/>
  <c r="L45" i="23" s="1"/>
  <c r="B46" i="22"/>
  <c r="B46" i="23" s="1"/>
  <c r="C46" i="22"/>
  <c r="C46" i="23"/>
  <c r="D46" i="22"/>
  <c r="E46" i="22"/>
  <c r="E46" i="23" s="1"/>
  <c r="P46" i="22"/>
  <c r="L46" i="23" s="1"/>
  <c r="B47" i="22"/>
  <c r="B47" i="23" s="1"/>
  <c r="D47" i="22"/>
  <c r="E47" i="22"/>
  <c r="E47" i="23" s="1"/>
  <c r="P47" i="22"/>
  <c r="L47" i="23" s="1"/>
  <c r="B48" i="22"/>
  <c r="B48" i="23" s="1"/>
  <c r="C48" i="22"/>
  <c r="C48" i="23" s="1"/>
  <c r="D48" i="22"/>
  <c r="E48" i="22"/>
  <c r="E48" i="23"/>
  <c r="O48" i="22"/>
  <c r="K48" i="23" s="1"/>
  <c r="P48" i="22"/>
  <c r="L48" i="23" s="1"/>
  <c r="B49" i="22"/>
  <c r="B49" i="23" s="1"/>
  <c r="C49" i="22"/>
  <c r="C49" i="23" s="1"/>
  <c r="D49" i="22"/>
  <c r="D49" i="23" s="1"/>
  <c r="E49" i="22"/>
  <c r="E49" i="23" s="1"/>
  <c r="B50" i="22"/>
  <c r="B50" i="23" s="1"/>
  <c r="C50" i="22"/>
  <c r="C50" i="23" s="1"/>
  <c r="D50" i="22"/>
  <c r="E50" i="22"/>
  <c r="E50" i="23" s="1"/>
  <c r="P50" i="22"/>
  <c r="L50" i="23" s="1"/>
  <c r="B51" i="22"/>
  <c r="B51" i="23" s="1"/>
  <c r="C51" i="22"/>
  <c r="C51" i="23" s="1"/>
  <c r="D51" i="22"/>
  <c r="E51" i="22"/>
  <c r="E51" i="23" s="1"/>
  <c r="O51" i="22"/>
  <c r="K51" i="23" s="1"/>
  <c r="P51" i="22"/>
  <c r="L51" i="23" s="1"/>
  <c r="B52" i="22"/>
  <c r="B52" i="23" s="1"/>
  <c r="C52" i="22"/>
  <c r="C52" i="23" s="1"/>
  <c r="D52" i="22"/>
  <c r="E52" i="22"/>
  <c r="E52" i="23" s="1"/>
  <c r="P52" i="22"/>
  <c r="L52" i="23" s="1"/>
  <c r="B53" i="22"/>
  <c r="B53" i="23" s="1"/>
  <c r="C53" i="22"/>
  <c r="C53" i="23" s="1"/>
  <c r="D53" i="22"/>
  <c r="E53" i="22"/>
  <c r="E53" i="23" s="1"/>
  <c r="P53" i="22"/>
  <c r="L53" i="23" s="1"/>
  <c r="B54" i="22"/>
  <c r="B54" i="23"/>
  <c r="C54" i="22"/>
  <c r="C54" i="23" s="1"/>
  <c r="D54" i="22"/>
  <c r="E54" i="22"/>
  <c r="E54" i="23" s="1"/>
  <c r="O54" i="22"/>
  <c r="K54" i="23" s="1"/>
  <c r="P54" i="22"/>
  <c r="L54" i="23" s="1"/>
  <c r="B55" i="22"/>
  <c r="B55" i="23" s="1"/>
  <c r="C55" i="22"/>
  <c r="C55" i="23" s="1"/>
  <c r="D55" i="22"/>
  <c r="E55" i="22"/>
  <c r="E55" i="23" s="1"/>
  <c r="P52" i="69"/>
  <c r="J55" i="22" s="1"/>
  <c r="G55" i="23" s="1"/>
  <c r="P55" i="22"/>
  <c r="L55" i="23"/>
  <c r="B56" i="22"/>
  <c r="B56" i="23" s="1"/>
  <c r="C56" i="22"/>
  <c r="C56" i="23" s="1"/>
  <c r="E15" i="33" s="1"/>
  <c r="D56" i="22"/>
  <c r="D56" i="23" s="1"/>
  <c r="E56" i="22"/>
  <c r="E56" i="23" s="1"/>
  <c r="P56" i="22"/>
  <c r="L56" i="23" s="1"/>
  <c r="C57" i="22"/>
  <c r="C57" i="23" s="1"/>
  <c r="D57" i="22"/>
  <c r="E57" i="22"/>
  <c r="E57" i="23" s="1"/>
  <c r="O9" i="22"/>
  <c r="K9" i="23" s="1"/>
  <c r="P9" i="22"/>
  <c r="L9" i="23"/>
  <c r="J13" i="33" s="1"/>
  <c r="K13" i="33" s="1"/>
  <c r="O11" i="22"/>
  <c r="K11" i="23" s="1"/>
  <c r="P11" i="22"/>
  <c r="L11" i="23" s="1"/>
  <c r="K12" i="23"/>
  <c r="E15" i="20"/>
  <c r="E15" i="22" s="1"/>
  <c r="E15" i="23" s="1"/>
  <c r="L15" i="22"/>
  <c r="I15" i="23"/>
  <c r="K15" i="23"/>
  <c r="L15" i="23"/>
  <c r="N58" i="23"/>
  <c r="O58" i="23"/>
  <c r="P58" i="23"/>
  <c r="O35" i="23"/>
  <c r="P35" i="23"/>
  <c r="P59" i="23" s="1"/>
  <c r="E12" i="76"/>
  <c r="E41" i="76" s="1"/>
  <c r="C13" i="76"/>
  <c r="D13" i="76"/>
  <c r="E13" i="76"/>
  <c r="E43" i="76"/>
  <c r="E38" i="63"/>
  <c r="E40" i="63"/>
  <c r="E27" i="63"/>
  <c r="E33" i="63"/>
  <c r="E41" i="63" s="1"/>
  <c r="E28" i="63" s="1"/>
  <c r="E39" i="63"/>
  <c r="E14" i="63"/>
  <c r="E15" i="63"/>
  <c r="B30" i="63"/>
  <c r="B11" i="63"/>
  <c r="B15" i="63"/>
  <c r="C30" i="63"/>
  <c r="C11" i="63"/>
  <c r="C16" i="63"/>
  <c r="D30" i="63"/>
  <c r="D11" i="63" s="1"/>
  <c r="D16" i="63"/>
  <c r="O56" i="55"/>
  <c r="B13" i="34"/>
  <c r="E62" i="69"/>
  <c r="P9" i="9"/>
  <c r="P12" i="9"/>
  <c r="P13" i="9"/>
  <c r="P15" i="9"/>
  <c r="P14" i="9"/>
  <c r="O16" i="9"/>
  <c r="P16" i="9" s="1"/>
  <c r="P17" i="9"/>
  <c r="P18" i="9"/>
  <c r="P23" i="9"/>
  <c r="W36" i="9"/>
  <c r="P60" i="9"/>
  <c r="B9" i="73"/>
  <c r="V16" i="3" s="1"/>
  <c r="B53" i="3" s="1"/>
  <c r="C31" i="76"/>
  <c r="E30" i="76"/>
  <c r="F30" i="76" s="1"/>
  <c r="E29" i="76"/>
  <c r="F29" i="76" s="1"/>
  <c r="E28" i="76"/>
  <c r="F28" i="76" s="1"/>
  <c r="C12" i="76"/>
  <c r="C18" i="76" s="1"/>
  <c r="C22" i="76" s="1"/>
  <c r="C17" i="76"/>
  <c r="D17" i="76"/>
  <c r="F12" i="76"/>
  <c r="D12" i="76"/>
  <c r="D18" i="76" s="1"/>
  <c r="E31" i="76"/>
  <c r="Q48" i="8"/>
  <c r="Q49" i="8"/>
  <c r="Q50" i="8" s="1"/>
  <c r="V48" i="50"/>
  <c r="V60" i="50" s="1"/>
  <c r="X106" i="50"/>
  <c r="P75" i="9"/>
  <c r="S77" i="9"/>
  <c r="W13" i="9"/>
  <c r="H10" i="22"/>
  <c r="J10" i="22"/>
  <c r="Y45" i="55"/>
  <c r="M29" i="59"/>
  <c r="I30" i="63"/>
  <c r="I11" i="63" s="1"/>
  <c r="G30" i="63"/>
  <c r="G11" i="63" s="1"/>
  <c r="G15" i="63"/>
  <c r="J40" i="63"/>
  <c r="J27" i="63"/>
  <c r="J41" i="63"/>
  <c r="J13" i="63"/>
  <c r="J14" i="63"/>
  <c r="J15" i="63"/>
  <c r="J22" i="63"/>
  <c r="G40" i="63"/>
  <c r="G42" i="63" s="1"/>
  <c r="G41" i="63"/>
  <c r="I40" i="63"/>
  <c r="I41" i="63"/>
  <c r="H40" i="63"/>
  <c r="H41" i="63"/>
  <c r="K23" i="8"/>
  <c r="I23" i="8"/>
  <c r="T79" i="69"/>
  <c r="W86" i="20"/>
  <c r="W74" i="20"/>
  <c r="T58" i="22"/>
  <c r="T35" i="22"/>
  <c r="T59" i="22" s="1"/>
  <c r="T58" i="20"/>
  <c r="T35" i="20"/>
  <c r="T58" i="19"/>
  <c r="T59" i="19" s="1"/>
  <c r="T35" i="19"/>
  <c r="Y58" i="71"/>
  <c r="Y35" i="71"/>
  <c r="Y59" i="71" s="1"/>
  <c r="X35" i="21"/>
  <c r="X58" i="21"/>
  <c r="X59" i="21"/>
  <c r="L67" i="69"/>
  <c r="L64" i="69"/>
  <c r="L63" i="69"/>
  <c r="L62" i="69"/>
  <c r="L61" i="69"/>
  <c r="J65" i="69"/>
  <c r="K65" i="69"/>
  <c r="G57" i="69"/>
  <c r="H47" i="69"/>
  <c r="D12" i="46"/>
  <c r="E2" i="71"/>
  <c r="J35" i="71"/>
  <c r="W20" i="9"/>
  <c r="T51" i="9"/>
  <c r="N80" i="9"/>
  <c r="N84" i="9" s="1"/>
  <c r="N85" i="9" s="1"/>
  <c r="P48" i="9"/>
  <c r="P47" i="9"/>
  <c r="P38" i="9"/>
  <c r="P20" i="9"/>
  <c r="P19" i="9"/>
  <c r="P6" i="9"/>
  <c r="AJ35" i="73"/>
  <c r="AJ52" i="73" s="1"/>
  <c r="B23" i="73"/>
  <c r="V30" i="3" s="1"/>
  <c r="B45" i="73"/>
  <c r="V52" i="3" s="1"/>
  <c r="B29" i="73"/>
  <c r="V36" i="3" s="1"/>
  <c r="B51" i="73"/>
  <c r="V58" i="3" s="1"/>
  <c r="AJ79" i="73"/>
  <c r="AJ58" i="73" s="1"/>
  <c r="AJ75" i="73" s="1"/>
  <c r="D108" i="73"/>
  <c r="X115" i="3" s="1"/>
  <c r="X162" i="3" s="1"/>
  <c r="X68" i="3"/>
  <c r="C111" i="73"/>
  <c r="W118" i="3"/>
  <c r="W71" i="3"/>
  <c r="Z96" i="73"/>
  <c r="B93" i="73" s="1"/>
  <c r="V100" i="3" s="1"/>
  <c r="C79" i="3" s="1"/>
  <c r="C56" i="3" s="1"/>
  <c r="W6" i="8"/>
  <c r="G49" i="8"/>
  <c r="Y41" i="55"/>
  <c r="AC56" i="55"/>
  <c r="AB56" i="55"/>
  <c r="AA56" i="55"/>
  <c r="Z56" i="55"/>
  <c r="Y56" i="55"/>
  <c r="X56" i="55"/>
  <c r="U24" i="50"/>
  <c r="Y38" i="55"/>
  <c r="Y39" i="55"/>
  <c r="Y40" i="55"/>
  <c r="Y48" i="55"/>
  <c r="Y52" i="55"/>
  <c r="AB54" i="55"/>
  <c r="AA54" i="55"/>
  <c r="Y54" i="55"/>
  <c r="X54" i="55"/>
  <c r="W54" i="55"/>
  <c r="AB53" i="55"/>
  <c r="AA53" i="55"/>
  <c r="Y53" i="55"/>
  <c r="X53" i="55"/>
  <c r="W53" i="55"/>
  <c r="AA51" i="55"/>
  <c r="Y51" i="55"/>
  <c r="W51" i="55"/>
  <c r="AB50" i="55"/>
  <c r="AA50" i="55"/>
  <c r="Y50" i="55"/>
  <c r="X50" i="55"/>
  <c r="W50" i="55"/>
  <c r="AB49" i="55"/>
  <c r="AA49" i="55"/>
  <c r="Y49" i="55"/>
  <c r="X49" i="55"/>
  <c r="W49" i="55"/>
  <c r="AB47" i="55"/>
  <c r="AA47" i="55"/>
  <c r="Y47" i="55"/>
  <c r="X47" i="55"/>
  <c r="W47" i="55"/>
  <c r="B68" i="73"/>
  <c r="U28" i="48"/>
  <c r="B67" i="73"/>
  <c r="B65" i="73"/>
  <c r="U25" i="48" s="1"/>
  <c r="B64" i="73"/>
  <c r="B63" i="73"/>
  <c r="B62" i="73"/>
  <c r="U22" i="48" s="1"/>
  <c r="B61" i="73"/>
  <c r="U21" i="48" s="1"/>
  <c r="C73" i="48" s="1"/>
  <c r="B59" i="73"/>
  <c r="B57" i="73"/>
  <c r="AG28" i="50"/>
  <c r="AG27" i="50"/>
  <c r="AG26" i="50"/>
  <c r="AG25" i="50"/>
  <c r="AG24" i="50"/>
  <c r="AG23" i="50"/>
  <c r="AG22" i="50"/>
  <c r="AG21" i="50"/>
  <c r="AG20" i="50"/>
  <c r="AG19" i="50"/>
  <c r="AG18" i="50"/>
  <c r="AG17" i="50"/>
  <c r="F27" i="30"/>
  <c r="E27" i="30"/>
  <c r="D27" i="30"/>
  <c r="C27" i="30"/>
  <c r="B27" i="30"/>
  <c r="F26" i="30"/>
  <c r="AA26" i="30"/>
  <c r="E26" i="30"/>
  <c r="Z26" i="30"/>
  <c r="D26" i="30"/>
  <c r="Y26" i="30"/>
  <c r="C26" i="30"/>
  <c r="X26" i="30"/>
  <c r="B26" i="30"/>
  <c r="F24" i="30"/>
  <c r="E24" i="30"/>
  <c r="D24" i="30"/>
  <c r="B24" i="30"/>
  <c r="F23" i="30"/>
  <c r="E23" i="30"/>
  <c r="D23" i="30"/>
  <c r="B23" i="30"/>
  <c r="F22" i="30"/>
  <c r="E22" i="30"/>
  <c r="D22" i="30"/>
  <c r="B22" i="30"/>
  <c r="F21" i="30"/>
  <c r="E21" i="30"/>
  <c r="D21" i="30"/>
  <c r="B21" i="30"/>
  <c r="F20" i="30"/>
  <c r="E20" i="30"/>
  <c r="D20" i="30"/>
  <c r="B20" i="30"/>
  <c r="F18" i="30"/>
  <c r="AF28" i="50"/>
  <c r="AC28" i="50"/>
  <c r="B18" i="30"/>
  <c r="AB28" i="50" s="1"/>
  <c r="F17" i="30"/>
  <c r="AF27" i="50" s="1"/>
  <c r="B17" i="30"/>
  <c r="AB27" i="50" s="1"/>
  <c r="F16" i="30"/>
  <c r="AF26" i="50" s="1"/>
  <c r="B16" i="30"/>
  <c r="AB26" i="50" s="1"/>
  <c r="F15" i="30"/>
  <c r="AF25" i="50" s="1"/>
  <c r="D15" i="30"/>
  <c r="AD25" i="50" s="1"/>
  <c r="C15" i="30"/>
  <c r="AC25" i="50" s="1"/>
  <c r="B15" i="30"/>
  <c r="AB25" i="50" s="1"/>
  <c r="F14" i="30"/>
  <c r="AF24" i="50" s="1"/>
  <c r="AC24" i="50"/>
  <c r="B14" i="30"/>
  <c r="AB24" i="50"/>
  <c r="F13" i="30"/>
  <c r="AF23" i="50"/>
  <c r="C13" i="30"/>
  <c r="AC23" i="50"/>
  <c r="B13" i="30"/>
  <c r="AB23" i="50"/>
  <c r="F12" i="30"/>
  <c r="AF22" i="50"/>
  <c r="B12" i="30"/>
  <c r="AB22" i="50"/>
  <c r="F11" i="30"/>
  <c r="AF21" i="50"/>
  <c r="D11" i="30"/>
  <c r="AD21" i="50"/>
  <c r="C11" i="30"/>
  <c r="AC21" i="50"/>
  <c r="B11" i="30"/>
  <c r="AB21" i="50"/>
  <c r="F10" i="30"/>
  <c r="AF20" i="50"/>
  <c r="B10" i="30"/>
  <c r="AB20" i="50"/>
  <c r="F9" i="30"/>
  <c r="AF19" i="50"/>
  <c r="B9" i="30"/>
  <c r="AB19" i="50"/>
  <c r="F8" i="30"/>
  <c r="AF18" i="50"/>
  <c r="B8" i="30"/>
  <c r="AB18" i="50"/>
  <c r="F7" i="30"/>
  <c r="AF17" i="50"/>
  <c r="AC17" i="50"/>
  <c r="B7" i="30"/>
  <c r="AB17" i="50" s="1"/>
  <c r="AC22" i="50"/>
  <c r="AC20" i="50"/>
  <c r="Y26" i="21"/>
  <c r="Y24" i="21"/>
  <c r="F14" i="63"/>
  <c r="D6" i="63"/>
  <c r="I6" i="63"/>
  <c r="D41" i="63"/>
  <c r="C41" i="63"/>
  <c r="C42" i="63" s="1"/>
  <c r="C40" i="63"/>
  <c r="D40" i="63"/>
  <c r="D42" i="63"/>
  <c r="B41" i="63"/>
  <c r="B40" i="63"/>
  <c r="L22" i="74"/>
  <c r="L18" i="74"/>
  <c r="L17" i="74"/>
  <c r="L16" i="74"/>
  <c r="L15" i="74"/>
  <c r="L14" i="74"/>
  <c r="L13" i="74"/>
  <c r="L12" i="74"/>
  <c r="L11" i="74"/>
  <c r="L10" i="74"/>
  <c r="L9" i="74"/>
  <c r="L8" i="74"/>
  <c r="L7" i="74"/>
  <c r="N136" i="73"/>
  <c r="B136" i="73" s="1"/>
  <c r="V143" i="3" s="1"/>
  <c r="D73" i="3" s="1"/>
  <c r="D50" i="3" s="1"/>
  <c r="N130" i="73"/>
  <c r="B130" i="73"/>
  <c r="V137" i="3" s="1"/>
  <c r="N128" i="73"/>
  <c r="B128" i="73" s="1"/>
  <c r="N87" i="73"/>
  <c r="B87" i="73" s="1"/>
  <c r="V94" i="3" s="1"/>
  <c r="N81" i="73"/>
  <c r="B81" i="73"/>
  <c r="V88" i="3" s="1"/>
  <c r="N79" i="73"/>
  <c r="B79" i="73" s="1"/>
  <c r="V86" i="3" s="1"/>
  <c r="AM15" i="73"/>
  <c r="N15" i="73"/>
  <c r="B15" i="73" s="1"/>
  <c r="V22" i="3" s="1"/>
  <c r="N37" i="73"/>
  <c r="B37" i="73" s="1"/>
  <c r="V44" i="3" s="1"/>
  <c r="N43" i="73"/>
  <c r="B43" i="73"/>
  <c r="V50" i="3" s="1"/>
  <c r="AM13" i="73"/>
  <c r="N13" i="73" s="1"/>
  <c r="B13" i="73" s="1"/>
  <c r="V20" i="3" s="1"/>
  <c r="N35" i="73"/>
  <c r="B35" i="73" s="1"/>
  <c r="AP113" i="73"/>
  <c r="Q113" i="73" s="1"/>
  <c r="E113" i="73" s="1"/>
  <c r="Y120" i="3" s="1"/>
  <c r="AP105" i="73"/>
  <c r="AP122" i="73" s="1"/>
  <c r="AP107" i="73"/>
  <c r="Q107" i="73"/>
  <c r="E107" i="73"/>
  <c r="Y114" i="3" s="1"/>
  <c r="Y161" i="3" s="1"/>
  <c r="AN113" i="73"/>
  <c r="O113" i="73" s="1"/>
  <c r="C113" i="73" s="1"/>
  <c r="W120" i="3" s="1"/>
  <c r="AN107" i="73"/>
  <c r="O107" i="73" s="1"/>
  <c r="C107" i="73" s="1"/>
  <c r="W114" i="3" s="1"/>
  <c r="AM21" i="73"/>
  <c r="N21" i="73" s="1"/>
  <c r="B21" i="73" s="1"/>
  <c r="V28" i="3" s="1"/>
  <c r="AP30" i="73"/>
  <c r="AO105" i="73"/>
  <c r="P105" i="73"/>
  <c r="D105" i="73" s="1"/>
  <c r="AM105" i="73"/>
  <c r="N105" i="73"/>
  <c r="B105" i="73" s="1"/>
  <c r="V112" i="3" s="1"/>
  <c r="P138" i="73"/>
  <c r="O138" i="73"/>
  <c r="N138" i="73"/>
  <c r="P137" i="73"/>
  <c r="O137" i="73"/>
  <c r="N137" i="73"/>
  <c r="P135" i="73"/>
  <c r="O135" i="73"/>
  <c r="N135" i="73"/>
  <c r="P134" i="73"/>
  <c r="O134" i="73"/>
  <c r="N134" i="73"/>
  <c r="P133" i="73"/>
  <c r="O133" i="73"/>
  <c r="N133" i="73"/>
  <c r="P132" i="73"/>
  <c r="O132" i="73"/>
  <c r="N132" i="73"/>
  <c r="P131" i="73"/>
  <c r="O131" i="73"/>
  <c r="N131" i="73"/>
  <c r="P129" i="73"/>
  <c r="O129" i="73"/>
  <c r="N129" i="73"/>
  <c r="P127" i="73"/>
  <c r="O127" i="73"/>
  <c r="N127" i="73"/>
  <c r="Q115" i="73"/>
  <c r="E115" i="73" s="1"/>
  <c r="Y122" i="3" s="1"/>
  <c r="P115" i="73"/>
  <c r="O115" i="73"/>
  <c r="N115" i="73"/>
  <c r="Q114" i="73"/>
  <c r="E114" i="73" s="1"/>
  <c r="Y121" i="3" s="1"/>
  <c r="Y74" i="3"/>
  <c r="P114" i="73"/>
  <c r="O114" i="73"/>
  <c r="N114" i="73"/>
  <c r="Q112" i="73"/>
  <c r="E112" i="73"/>
  <c r="Y119" i="3" s="1"/>
  <c r="Y166" i="3" s="1"/>
  <c r="P112" i="73"/>
  <c r="O112" i="73"/>
  <c r="N112" i="73"/>
  <c r="Q111" i="73"/>
  <c r="E111" i="73"/>
  <c r="Y118" i="3" s="1"/>
  <c r="Y165" i="3" s="1"/>
  <c r="P111" i="73"/>
  <c r="O111" i="73"/>
  <c r="N111" i="73"/>
  <c r="Q110" i="73"/>
  <c r="E110" i="73"/>
  <c r="Y117" i="3" s="1"/>
  <c r="Y164" i="3" s="1"/>
  <c r="P110" i="73"/>
  <c r="O110" i="73"/>
  <c r="N110" i="73"/>
  <c r="Q109" i="73"/>
  <c r="E109" i="73"/>
  <c r="Y116" i="3" s="1"/>
  <c r="Y163" i="3" s="1"/>
  <c r="P109" i="73"/>
  <c r="O109" i="73"/>
  <c r="N109" i="73"/>
  <c r="Q108" i="73"/>
  <c r="E108" i="73"/>
  <c r="Y115" i="3" s="1"/>
  <c r="P108" i="73"/>
  <c r="O108" i="73"/>
  <c r="N108" i="73"/>
  <c r="Q106" i="73"/>
  <c r="E106" i="73"/>
  <c r="Y113" i="3" s="1"/>
  <c r="P106" i="73"/>
  <c r="O106" i="73"/>
  <c r="N106" i="73"/>
  <c r="Q104" i="73"/>
  <c r="K122" i="73"/>
  <c r="W122" i="73"/>
  <c r="P104" i="73"/>
  <c r="O104" i="73"/>
  <c r="N104" i="73"/>
  <c r="AM66" i="73"/>
  <c r="N66" i="73"/>
  <c r="B66" i="73" s="1"/>
  <c r="AM60" i="73"/>
  <c r="N60" i="73"/>
  <c r="B60" i="73" s="1"/>
  <c r="AM58" i="73"/>
  <c r="N58" i="73"/>
  <c r="B58" i="73" s="1"/>
  <c r="U18" i="48" s="1"/>
  <c r="AO113" i="73"/>
  <c r="P113" i="73"/>
  <c r="D113" i="73" s="1"/>
  <c r="X120" i="3" s="1"/>
  <c r="AM113" i="73"/>
  <c r="N113" i="73"/>
  <c r="B113" i="73" s="1"/>
  <c r="V120" i="3" s="1"/>
  <c r="AO107" i="73"/>
  <c r="P107" i="73"/>
  <c r="D107" i="73" s="1"/>
  <c r="AM107" i="73"/>
  <c r="N107" i="73" s="1"/>
  <c r="B107" i="73" s="1"/>
  <c r="V114" i="3" s="1"/>
  <c r="AN105" i="73"/>
  <c r="O105" i="73" s="1"/>
  <c r="C105" i="73" s="1"/>
  <c r="P89" i="73"/>
  <c r="O89" i="73"/>
  <c r="N89" i="73"/>
  <c r="P88" i="73"/>
  <c r="O88" i="73"/>
  <c r="N88" i="73"/>
  <c r="P86" i="73"/>
  <c r="O86" i="73"/>
  <c r="N86" i="73"/>
  <c r="P85" i="73"/>
  <c r="O85" i="73"/>
  <c r="N85" i="73"/>
  <c r="P84" i="73"/>
  <c r="O84" i="73"/>
  <c r="N84" i="73"/>
  <c r="P83" i="73"/>
  <c r="O83" i="73"/>
  <c r="N83" i="73"/>
  <c r="P82" i="73"/>
  <c r="O82" i="73"/>
  <c r="N82" i="73"/>
  <c r="P80" i="73"/>
  <c r="O80" i="73"/>
  <c r="N80" i="73"/>
  <c r="P78" i="73"/>
  <c r="O78" i="73"/>
  <c r="N78" i="73"/>
  <c r="P68" i="73"/>
  <c r="O68" i="73"/>
  <c r="N68" i="73"/>
  <c r="P67" i="73"/>
  <c r="O67" i="73"/>
  <c r="N67" i="73"/>
  <c r="P65" i="73"/>
  <c r="O65" i="73"/>
  <c r="N65" i="73"/>
  <c r="P64" i="73"/>
  <c r="O64" i="73"/>
  <c r="N64" i="73"/>
  <c r="P63" i="73"/>
  <c r="O63" i="73"/>
  <c r="N63" i="73"/>
  <c r="P62" i="73"/>
  <c r="O62" i="73"/>
  <c r="N62" i="73"/>
  <c r="P61" i="73"/>
  <c r="O61" i="73"/>
  <c r="N61" i="73"/>
  <c r="P59" i="73"/>
  <c r="O59" i="73"/>
  <c r="N59" i="73"/>
  <c r="P57" i="73"/>
  <c r="O57" i="73"/>
  <c r="N57" i="73"/>
  <c r="P45" i="73"/>
  <c r="O45" i="73"/>
  <c r="N45" i="73"/>
  <c r="P44" i="73"/>
  <c r="O44" i="73"/>
  <c r="N44" i="73"/>
  <c r="P42" i="73"/>
  <c r="O42" i="73"/>
  <c r="N42" i="73"/>
  <c r="P41" i="73"/>
  <c r="O41" i="73"/>
  <c r="N41" i="73"/>
  <c r="P40" i="73"/>
  <c r="O40" i="73"/>
  <c r="N40" i="73"/>
  <c r="P39" i="73"/>
  <c r="O39" i="73"/>
  <c r="N39" i="73"/>
  <c r="P38" i="73"/>
  <c r="O38" i="73"/>
  <c r="N38" i="73"/>
  <c r="P36" i="73"/>
  <c r="O36" i="73"/>
  <c r="N36" i="73"/>
  <c r="P23" i="73"/>
  <c r="O23" i="73"/>
  <c r="N23" i="73"/>
  <c r="P22" i="73"/>
  <c r="O22" i="73"/>
  <c r="N22" i="73"/>
  <c r="P20" i="73"/>
  <c r="O20" i="73"/>
  <c r="N20" i="73"/>
  <c r="P19" i="73"/>
  <c r="O19" i="73"/>
  <c r="N19" i="73"/>
  <c r="P18" i="73"/>
  <c r="O18" i="73"/>
  <c r="N18" i="73"/>
  <c r="P17" i="73"/>
  <c r="O17" i="73"/>
  <c r="N17" i="73"/>
  <c r="P16" i="73"/>
  <c r="O16" i="73"/>
  <c r="N16" i="73"/>
  <c r="P14" i="73"/>
  <c r="O14" i="73"/>
  <c r="N14" i="73"/>
  <c r="AP145" i="73"/>
  <c r="AP96" i="73"/>
  <c r="AP75" i="73"/>
  <c r="AP52" i="73"/>
  <c r="AJ145" i="73"/>
  <c r="AJ122" i="73"/>
  <c r="AJ96" i="73"/>
  <c r="D85" i="3"/>
  <c r="N53" i="3" s="1"/>
  <c r="B19" i="73"/>
  <c r="V26" i="3" s="1"/>
  <c r="B71" i="3" s="1"/>
  <c r="B41" i="73"/>
  <c r="V48" i="3" s="1"/>
  <c r="D115" i="73"/>
  <c r="X122" i="3" s="1"/>
  <c r="X75" i="3"/>
  <c r="B25" i="73"/>
  <c r="V32" i="3"/>
  <c r="B47" i="73"/>
  <c r="V54" i="3"/>
  <c r="B91" i="73"/>
  <c r="V98" i="3"/>
  <c r="B95" i="73"/>
  <c r="V102" i="3"/>
  <c r="H81" i="3" s="1"/>
  <c r="H58" i="3" s="1"/>
  <c r="C115" i="73"/>
  <c r="W75" i="3"/>
  <c r="U46" i="48"/>
  <c r="AE46" i="48"/>
  <c r="U48" i="48"/>
  <c r="AE48" i="48"/>
  <c r="C21" i="46"/>
  <c r="E21" i="46" s="1"/>
  <c r="T36" i="8"/>
  <c r="E3" i="46"/>
  <c r="G45" i="8"/>
  <c r="B35" i="27"/>
  <c r="O58" i="21"/>
  <c r="E11" i="46"/>
  <c r="AW15" i="47"/>
  <c r="AP21" i="47"/>
  <c r="AU21" i="47" s="1"/>
  <c r="B18" i="46"/>
  <c r="C19" i="46"/>
  <c r="H24" i="46"/>
  <c r="C20" i="46" s="1"/>
  <c r="C22" i="46"/>
  <c r="S22" i="8"/>
  <c r="T22" i="8"/>
  <c r="U22" i="8" s="1"/>
  <c r="V22" i="8" s="1"/>
  <c r="W22" i="8" s="1"/>
  <c r="S21" i="8"/>
  <c r="T21" i="8" s="1"/>
  <c r="U21" i="8" s="1"/>
  <c r="V21" i="8" s="1"/>
  <c r="W21" i="8" s="1"/>
  <c r="S20" i="8"/>
  <c r="T20" i="8"/>
  <c r="U20" i="8" s="1"/>
  <c r="V20" i="8" s="1"/>
  <c r="W20" i="8" s="1"/>
  <c r="S19" i="8"/>
  <c r="T19" i="8" s="1"/>
  <c r="U19" i="8" s="1"/>
  <c r="V19" i="8" s="1"/>
  <c r="W19" i="8" s="1"/>
  <c r="S18" i="8"/>
  <c r="T18" i="8"/>
  <c r="U18" i="8" s="1"/>
  <c r="V18" i="8" s="1"/>
  <c r="W18" i="8" s="1"/>
  <c r="S17" i="8"/>
  <c r="T17" i="8" s="1"/>
  <c r="U17" i="8" s="1"/>
  <c r="V17" i="8" s="1"/>
  <c r="W17" i="8" s="1"/>
  <c r="S16" i="8"/>
  <c r="T16" i="8"/>
  <c r="U16" i="8" s="1"/>
  <c r="V16" i="8" s="1"/>
  <c r="W16" i="8" s="1"/>
  <c r="S15" i="8"/>
  <c r="S14" i="8"/>
  <c r="T14" i="8"/>
  <c r="U14" i="8" s="1"/>
  <c r="V14" i="8" s="1"/>
  <c r="W14" i="8" s="1"/>
  <c r="S13" i="8"/>
  <c r="T13" i="8" s="1"/>
  <c r="S11" i="8"/>
  <c r="Q23" i="8"/>
  <c r="R23" i="8"/>
  <c r="R24" i="8" s="1"/>
  <c r="I12" i="46"/>
  <c r="I36" i="8"/>
  <c r="I57" i="8"/>
  <c r="Q35" i="21"/>
  <c r="Q59" i="21" s="1"/>
  <c r="Q58" i="21"/>
  <c r="F62" i="8"/>
  <c r="F63" i="8" s="1"/>
  <c r="D21" i="46"/>
  <c r="D22" i="46"/>
  <c r="D19" i="46"/>
  <c r="I24" i="46"/>
  <c r="D20" i="46" s="1"/>
  <c r="D24" i="46" s="1"/>
  <c r="T6" i="70"/>
  <c r="T25" i="70"/>
  <c r="R12" i="70"/>
  <c r="S12" i="70"/>
  <c r="T12" i="70"/>
  <c r="R16" i="70"/>
  <c r="S16" i="70"/>
  <c r="T16" i="70"/>
  <c r="R28" i="70"/>
  <c r="S28" i="70"/>
  <c r="T28" i="70"/>
  <c r="E25" i="70" s="1"/>
  <c r="AC25" i="70" s="1"/>
  <c r="R19" i="70"/>
  <c r="S19" i="70"/>
  <c r="T19" i="70"/>
  <c r="C12" i="45"/>
  <c r="B13" i="45"/>
  <c r="T37" i="70"/>
  <c r="U37" i="70" s="1"/>
  <c r="F27" i="70" s="1"/>
  <c r="C13" i="45" s="1"/>
  <c r="B17" i="45"/>
  <c r="U34" i="70"/>
  <c r="F31" i="70"/>
  <c r="C17" i="45" s="1"/>
  <c r="B19" i="45"/>
  <c r="T43" i="70"/>
  <c r="E33" i="70" s="1"/>
  <c r="AC33" i="70" s="1"/>
  <c r="T22" i="70"/>
  <c r="U22" i="70"/>
  <c r="F18" i="70" s="1"/>
  <c r="B21" i="45" s="1"/>
  <c r="C21" i="45"/>
  <c r="G14" i="45"/>
  <c r="G15" i="45"/>
  <c r="G16" i="45"/>
  <c r="G18" i="45"/>
  <c r="G20" i="45"/>
  <c r="S35" i="21"/>
  <c r="S58" i="21"/>
  <c r="AA57" i="21"/>
  <c r="AC57" i="21"/>
  <c r="AC55" i="21"/>
  <c r="AC54" i="21"/>
  <c r="AC53" i="21"/>
  <c r="AC52" i="21"/>
  <c r="AB56" i="21"/>
  <c r="AC56" i="21"/>
  <c r="F59" i="8"/>
  <c r="F43" i="8"/>
  <c r="AH30" i="8"/>
  <c r="AH44" i="8"/>
  <c r="AH51" i="8"/>
  <c r="AG30" i="8"/>
  <c r="AG44" i="8"/>
  <c r="AG51" i="8"/>
  <c r="AF30" i="8"/>
  <c r="AF44" i="8"/>
  <c r="AF51" i="8"/>
  <c r="AF53" i="8"/>
  <c r="AE13" i="8"/>
  <c r="AE14" i="8"/>
  <c r="AE15" i="8"/>
  <c r="AE16" i="8"/>
  <c r="AE17" i="8"/>
  <c r="AE18" i="8"/>
  <c r="AE19" i="8"/>
  <c r="AE20" i="8"/>
  <c r="AE21" i="8"/>
  <c r="AE22" i="8"/>
  <c r="AE23" i="8"/>
  <c r="AE24" i="8"/>
  <c r="AE25" i="8"/>
  <c r="AE26" i="8"/>
  <c r="AE27" i="8"/>
  <c r="AE28" i="8"/>
  <c r="AE29" i="8"/>
  <c r="AE33" i="8"/>
  <c r="AE34" i="8"/>
  <c r="AE35" i="8"/>
  <c r="AE36" i="8"/>
  <c r="AE37" i="8"/>
  <c r="AA38" i="8"/>
  <c r="AE38" i="8"/>
  <c r="AE39" i="8"/>
  <c r="AE40" i="8"/>
  <c r="AE41" i="8"/>
  <c r="AE42" i="8"/>
  <c r="AE43" i="8"/>
  <c r="AE45" i="8"/>
  <c r="AE46" i="8"/>
  <c r="AE47" i="8"/>
  <c r="AE48" i="8"/>
  <c r="AE49" i="8"/>
  <c r="AE50" i="8"/>
  <c r="AE52" i="8"/>
  <c r="AD30" i="8"/>
  <c r="AD44" i="8"/>
  <c r="AD51" i="8"/>
  <c r="AD53" i="8"/>
  <c r="AD55" i="8" s="1"/>
  <c r="AC30" i="8"/>
  <c r="AC44" i="8"/>
  <c r="AC53" i="8" s="1"/>
  <c r="AC55" i="8" s="1"/>
  <c r="AC51" i="8"/>
  <c r="AB30" i="8"/>
  <c r="AB44" i="8"/>
  <c r="AB51" i="8"/>
  <c r="AA30" i="8"/>
  <c r="AA44" i="8"/>
  <c r="AA51" i="8"/>
  <c r="AI29" i="8"/>
  <c r="AI28" i="8"/>
  <c r="AI27" i="8"/>
  <c r="AI26" i="8"/>
  <c r="AI25" i="8"/>
  <c r="AI24" i="8"/>
  <c r="AI23" i="8"/>
  <c r="AI22" i="8"/>
  <c r="AI21" i="8"/>
  <c r="AI20" i="8"/>
  <c r="AI19" i="8"/>
  <c r="AI18" i="8"/>
  <c r="AI17" i="8"/>
  <c r="AI16" i="8"/>
  <c r="AI15" i="8"/>
  <c r="AI14" i="8"/>
  <c r="AI13" i="8"/>
  <c r="U18" i="50"/>
  <c r="U19" i="50"/>
  <c r="U44" i="48"/>
  <c r="U42" i="48"/>
  <c r="U43" i="48"/>
  <c r="U45" i="48"/>
  <c r="U47" i="48"/>
  <c r="U49" i="48"/>
  <c r="U50" i="48"/>
  <c r="U51" i="48"/>
  <c r="U52" i="48"/>
  <c r="U53" i="48"/>
  <c r="U57" i="48"/>
  <c r="V60" i="48"/>
  <c r="T60" i="48"/>
  <c r="AE44" i="48"/>
  <c r="AD44" i="48"/>
  <c r="AE45" i="48"/>
  <c r="AE58" i="48"/>
  <c r="AE42" i="48"/>
  <c r="AD42" i="48"/>
  <c r="AH44" i="47"/>
  <c r="AH12" i="47"/>
  <c r="AH13" i="47"/>
  <c r="AH14" i="47"/>
  <c r="AH15" i="47"/>
  <c r="AH16" i="47"/>
  <c r="AH17" i="47"/>
  <c r="AH18" i="47"/>
  <c r="AH19" i="47"/>
  <c r="AH20" i="47"/>
  <c r="AH21" i="47"/>
  <c r="AH22" i="47"/>
  <c r="AH24" i="47"/>
  <c r="AH29" i="47"/>
  <c r="AH30" i="47"/>
  <c r="AH35" i="47"/>
  <c r="AA39" i="47"/>
  <c r="AH41" i="47"/>
  <c r="AH46" i="47"/>
  <c r="AH48" i="47"/>
  <c r="R44" i="47"/>
  <c r="R12" i="47"/>
  <c r="R13" i="47"/>
  <c r="R14" i="47"/>
  <c r="R15" i="47"/>
  <c r="R16" i="47"/>
  <c r="R17" i="47"/>
  <c r="R18" i="47"/>
  <c r="R19" i="47"/>
  <c r="R20" i="47"/>
  <c r="R21" i="47"/>
  <c r="R22" i="47"/>
  <c r="R29" i="47"/>
  <c r="R30" i="47"/>
  <c r="R35" i="47"/>
  <c r="R39" i="47"/>
  <c r="R40" i="47"/>
  <c r="R41" i="47"/>
  <c r="R42" i="47"/>
  <c r="R46" i="47"/>
  <c r="R49" i="47"/>
  <c r="AW44" i="47"/>
  <c r="AP12" i="47"/>
  <c r="AU12" i="47"/>
  <c r="AW13" i="47"/>
  <c r="AP14" i="47"/>
  <c r="AW16" i="47"/>
  <c r="AW17" i="47"/>
  <c r="AP18" i="47"/>
  <c r="AW18" i="47"/>
  <c r="AW19" i="47"/>
  <c r="AP20" i="47"/>
  <c r="AO20" i="47"/>
  <c r="AW22" i="47"/>
  <c r="AW24" i="47"/>
  <c r="AW25" i="47"/>
  <c r="AW29" i="47"/>
  <c r="AP30" i="47"/>
  <c r="AW35" i="47"/>
  <c r="AW39" i="47"/>
  <c r="AW40" i="47"/>
  <c r="AW41" i="47"/>
  <c r="AW42" i="47"/>
  <c r="AW43" i="47"/>
  <c r="AP48" i="47"/>
  <c r="AW49" i="47"/>
  <c r="AW50" i="47"/>
  <c r="AW51" i="47"/>
  <c r="AF12" i="47"/>
  <c r="AF13" i="47"/>
  <c r="AF14" i="47"/>
  <c r="AF15" i="47"/>
  <c r="AF16" i="47"/>
  <c r="AF17" i="47"/>
  <c r="AF18" i="47"/>
  <c r="AF19" i="47"/>
  <c r="AF20" i="47"/>
  <c r="AF21" i="47"/>
  <c r="AF22" i="47"/>
  <c r="AF24" i="47"/>
  <c r="AF29" i="47"/>
  <c r="AF30" i="47"/>
  <c r="AF35" i="47"/>
  <c r="AF39" i="47"/>
  <c r="AF40" i="47"/>
  <c r="AF42" i="47"/>
  <c r="AF44" i="47"/>
  <c r="X46" i="47"/>
  <c r="AF46" i="47" s="1"/>
  <c r="AF53" i="47" s="1"/>
  <c r="AF49" i="47"/>
  <c r="AF50" i="47"/>
  <c r="P12" i="47"/>
  <c r="P13" i="47"/>
  <c r="P14" i="47"/>
  <c r="P15" i="47"/>
  <c r="P16" i="47"/>
  <c r="P17" i="47"/>
  <c r="P18" i="47"/>
  <c r="P19" i="47"/>
  <c r="P20" i="47"/>
  <c r="P21" i="47"/>
  <c r="P22" i="47"/>
  <c r="P27" i="47"/>
  <c r="P29" i="47"/>
  <c r="P30" i="47"/>
  <c r="P35" i="47"/>
  <c r="P39" i="47"/>
  <c r="P40" i="47"/>
  <c r="P41" i="47"/>
  <c r="P42" i="47"/>
  <c r="P44" i="47"/>
  <c r="P46" i="47"/>
  <c r="P49" i="47"/>
  <c r="P50" i="47"/>
  <c r="AO13" i="47"/>
  <c r="AU13" i="47"/>
  <c r="AU15" i="47"/>
  <c r="AU16" i="47"/>
  <c r="AU17" i="47"/>
  <c r="AO18" i="47"/>
  <c r="AU19" i="47"/>
  <c r="AU22" i="47"/>
  <c r="AU24" i="47"/>
  <c r="AU25" i="47"/>
  <c r="AU29" i="47"/>
  <c r="AU35" i="47"/>
  <c r="AU37" i="47"/>
  <c r="AU39" i="47"/>
  <c r="AU40" i="47"/>
  <c r="AU41" i="47"/>
  <c r="AU42" i="47"/>
  <c r="AU43" i="47"/>
  <c r="AO44" i="47"/>
  <c r="AU44" i="47"/>
  <c r="AM46" i="47"/>
  <c r="AN46" i="47"/>
  <c r="AN53" i="47" s="1"/>
  <c r="AN54" i="47" s="1"/>
  <c r="AU49" i="47"/>
  <c r="AU50" i="47"/>
  <c r="AU51" i="47"/>
  <c r="O36" i="56"/>
  <c r="N36" i="56"/>
  <c r="U3822" i="53"/>
  <c r="R30" i="51"/>
  <c r="S30" i="51" s="1"/>
  <c r="D30" i="51" s="1"/>
  <c r="R25" i="51"/>
  <c r="S25" i="51" s="1"/>
  <c r="U25" i="51" s="1"/>
  <c r="O24" i="51"/>
  <c r="Q19" i="51"/>
  <c r="R19" i="51" s="1"/>
  <c r="S19" i="51" s="1"/>
  <c r="U19" i="51" s="1"/>
  <c r="Q17" i="51"/>
  <c r="R17" i="51" s="1"/>
  <c r="S17" i="51" s="1"/>
  <c r="U17" i="51" s="1"/>
  <c r="Q16" i="51"/>
  <c r="R16" i="51" s="1"/>
  <c r="S16" i="51" s="1"/>
  <c r="U16" i="51" s="1"/>
  <c r="Q15" i="51"/>
  <c r="R15" i="51" s="1"/>
  <c r="S15" i="51" s="1"/>
  <c r="U15" i="51" s="1"/>
  <c r="Q14" i="51"/>
  <c r="R14" i="51" s="1"/>
  <c r="S14" i="51" s="1"/>
  <c r="U14" i="51" s="1"/>
  <c r="Q13" i="51"/>
  <c r="R13" i="51" s="1"/>
  <c r="S13" i="51" s="1"/>
  <c r="U13" i="51" s="1"/>
  <c r="Q12" i="51"/>
  <c r="R12" i="51" s="1"/>
  <c r="Q11" i="51"/>
  <c r="R11" i="51" s="1"/>
  <c r="Q10" i="51"/>
  <c r="R10" i="51" s="1"/>
  <c r="Q9" i="51"/>
  <c r="R9" i="51" s="1"/>
  <c r="S9" i="51" s="1"/>
  <c r="U9" i="51" s="1"/>
  <c r="Q8" i="51"/>
  <c r="S8" i="51" s="1"/>
  <c r="W12" i="51"/>
  <c r="X12" i="51"/>
  <c r="Y12" i="51"/>
  <c r="Y19" i="51"/>
  <c r="X19" i="51"/>
  <c r="W19" i="51"/>
  <c r="Y17" i="51"/>
  <c r="X17" i="51"/>
  <c r="W17" i="51"/>
  <c r="Y16" i="51"/>
  <c r="X16" i="51"/>
  <c r="W16" i="51"/>
  <c r="Y15" i="51"/>
  <c r="X15" i="51"/>
  <c r="W15" i="51"/>
  <c r="Y14" i="51"/>
  <c r="X14" i="51"/>
  <c r="W14" i="51"/>
  <c r="Y13" i="51"/>
  <c r="X13" i="51"/>
  <c r="W13" i="51"/>
  <c r="Y11" i="51"/>
  <c r="X11" i="51"/>
  <c r="W11" i="51"/>
  <c r="Y10" i="51"/>
  <c r="X10" i="51"/>
  <c r="W10" i="51"/>
  <c r="Y9" i="51"/>
  <c r="X9" i="51"/>
  <c r="W9" i="51"/>
  <c r="Y8" i="51"/>
  <c r="X8" i="51"/>
  <c r="W8" i="51"/>
  <c r="C25" i="51"/>
  <c r="B25" i="51"/>
  <c r="Q38" i="51"/>
  <c r="Q37" i="51"/>
  <c r="Q41" i="51" s="1"/>
  <c r="R31" i="51"/>
  <c r="S31" i="51"/>
  <c r="R32" i="51"/>
  <c r="S32" i="51"/>
  <c r="U99" i="50"/>
  <c r="U88" i="50"/>
  <c r="U53" i="50"/>
  <c r="U52" i="50"/>
  <c r="U51" i="50"/>
  <c r="U50" i="50"/>
  <c r="U49" i="50"/>
  <c r="U47" i="50"/>
  <c r="U46" i="50"/>
  <c r="U45" i="50"/>
  <c r="U42" i="50"/>
  <c r="U43" i="50"/>
  <c r="U60" i="50" s="1"/>
  <c r="U44" i="50"/>
  <c r="U48" i="50"/>
  <c r="T35" i="50"/>
  <c r="U35" i="50"/>
  <c r="V35" i="50"/>
  <c r="T60" i="50"/>
  <c r="T83" i="50"/>
  <c r="U83" i="50"/>
  <c r="V83" i="50"/>
  <c r="U28" i="50"/>
  <c r="U27" i="50"/>
  <c r="U26" i="50"/>
  <c r="U25" i="50"/>
  <c r="U22" i="50"/>
  <c r="U21" i="50"/>
  <c r="U20" i="50"/>
  <c r="U17" i="50"/>
  <c r="F6" i="54"/>
  <c r="L105" i="50"/>
  <c r="K105" i="50"/>
  <c r="L104" i="50"/>
  <c r="K104" i="50"/>
  <c r="L103" i="50"/>
  <c r="K103" i="50"/>
  <c r="L102" i="50"/>
  <c r="K102" i="50"/>
  <c r="L101" i="50"/>
  <c r="K101" i="50"/>
  <c r="U98" i="50"/>
  <c r="U97" i="50"/>
  <c r="U96" i="50"/>
  <c r="U95" i="50"/>
  <c r="U94" i="50"/>
  <c r="U93" i="50"/>
  <c r="U92" i="50"/>
  <c r="U91" i="50"/>
  <c r="U90" i="50"/>
  <c r="U89" i="50"/>
  <c r="L82" i="50"/>
  <c r="K82" i="50"/>
  <c r="L81" i="50"/>
  <c r="K81" i="50"/>
  <c r="L80" i="50"/>
  <c r="K80" i="50"/>
  <c r="L79" i="50"/>
  <c r="K79" i="50"/>
  <c r="L78" i="50"/>
  <c r="K78" i="50"/>
  <c r="AD58" i="48"/>
  <c r="N12" i="49"/>
  <c r="N13" i="49"/>
  <c r="N14" i="49"/>
  <c r="N15" i="49"/>
  <c r="N16" i="49"/>
  <c r="N17" i="49"/>
  <c r="N18" i="49"/>
  <c r="N19" i="49"/>
  <c r="N20" i="49"/>
  <c r="N21" i="49"/>
  <c r="N22" i="49"/>
  <c r="N23" i="49"/>
  <c r="N25" i="49"/>
  <c r="N26" i="49"/>
  <c r="N27" i="49"/>
  <c r="N28" i="49"/>
  <c r="M31" i="49"/>
  <c r="B12" i="73"/>
  <c r="V19" i="3" s="1"/>
  <c r="B64" i="3" s="1"/>
  <c r="B34" i="73"/>
  <c r="V41" i="3" s="1"/>
  <c r="B144" i="73"/>
  <c r="V151" i="3" s="1"/>
  <c r="B143" i="73"/>
  <c r="V150" i="3" s="1"/>
  <c r="B94" i="73"/>
  <c r="V101" i="3" s="1"/>
  <c r="B28" i="73"/>
  <c r="V35" i="3" s="1"/>
  <c r="B50" i="73"/>
  <c r="V57" i="3" s="1"/>
  <c r="B142" i="73"/>
  <c r="V149" i="3" s="1"/>
  <c r="B27" i="73"/>
  <c r="V34" i="3" s="1"/>
  <c r="Z52" i="73"/>
  <c r="B49" i="73" s="1"/>
  <c r="V56" i="3" s="1"/>
  <c r="B141" i="73"/>
  <c r="V148" i="3"/>
  <c r="B92" i="73"/>
  <c r="V99" i="3"/>
  <c r="B26" i="73"/>
  <c r="V33" i="3"/>
  <c r="B48" i="73"/>
  <c r="V55" i="3"/>
  <c r="T39" i="73"/>
  <c r="T75" i="73"/>
  <c r="T83" i="73"/>
  <c r="T122" i="73"/>
  <c r="T132" i="73"/>
  <c r="B132" i="73"/>
  <c r="V139" i="3" s="1"/>
  <c r="D76" i="3"/>
  <c r="C76" i="3"/>
  <c r="C53" i="3"/>
  <c r="B76" i="3"/>
  <c r="B138" i="73"/>
  <c r="V145" i="3" s="1"/>
  <c r="B89" i="73"/>
  <c r="B137" i="73"/>
  <c r="V144" i="3"/>
  <c r="B88" i="73"/>
  <c r="V95" i="3"/>
  <c r="B22" i="73"/>
  <c r="V29" i="3"/>
  <c r="B44" i="73"/>
  <c r="V51" i="3"/>
  <c r="B135" i="73"/>
  <c r="V142" i="3"/>
  <c r="B86" i="73"/>
  <c r="V93" i="3"/>
  <c r="B20" i="73"/>
  <c r="V27" i="3"/>
  <c r="B42" i="73"/>
  <c r="B134" i="73"/>
  <c r="V141" i="3" s="1"/>
  <c r="B85" i="73"/>
  <c r="B133" i="73"/>
  <c r="V140" i="3"/>
  <c r="B84" i="73"/>
  <c r="V91" i="3"/>
  <c r="B110" i="73"/>
  <c r="V117" i="3"/>
  <c r="B40" i="73"/>
  <c r="V47" i="3"/>
  <c r="B18" i="73"/>
  <c r="V25" i="3"/>
  <c r="B70" i="3" s="1"/>
  <c r="B47" i="3" s="1"/>
  <c r="B17" i="73"/>
  <c r="V24" i="3"/>
  <c r="B131" i="73"/>
  <c r="V138" i="3"/>
  <c r="B82" i="73"/>
  <c r="V89" i="3"/>
  <c r="B16" i="73"/>
  <c r="V23" i="3"/>
  <c r="B68" i="3" s="1"/>
  <c r="B45" i="3" s="1"/>
  <c r="B38" i="73"/>
  <c r="V45" i="3"/>
  <c r="B127" i="73"/>
  <c r="V134" i="3"/>
  <c r="I64" i="3" s="1"/>
  <c r="I41" i="3" s="1"/>
  <c r="B129" i="73"/>
  <c r="V136" i="3"/>
  <c r="I66" i="3" s="1"/>
  <c r="I43" i="3" s="1"/>
  <c r="B80" i="73"/>
  <c r="V87" i="3"/>
  <c r="B14" i="73"/>
  <c r="V21" i="3"/>
  <c r="B36" i="73"/>
  <c r="V43" i="3"/>
  <c r="B78" i="73"/>
  <c r="V85" i="3"/>
  <c r="I76" i="3"/>
  <c r="I53" i="3"/>
  <c r="H76" i="3"/>
  <c r="H53" i="3"/>
  <c r="G76" i="3"/>
  <c r="P33" i="75"/>
  <c r="P30" i="75" s="1"/>
  <c r="P27" i="75"/>
  <c r="C22" i="75"/>
  <c r="C25" i="75"/>
  <c r="C23" i="75"/>
  <c r="C19" i="75"/>
  <c r="C18" i="75"/>
  <c r="C17" i="75"/>
  <c r="C16" i="75"/>
  <c r="C15" i="75"/>
  <c r="C14" i="75"/>
  <c r="C13" i="75"/>
  <c r="C8" i="75"/>
  <c r="C9" i="75"/>
  <c r="C10" i="75"/>
  <c r="C11" i="75"/>
  <c r="C12" i="75"/>
  <c r="C21" i="75"/>
  <c r="C24" i="75"/>
  <c r="C29" i="75"/>
  <c r="C30" i="75"/>
  <c r="C31" i="75"/>
  <c r="O27" i="75"/>
  <c r="O33" i="75"/>
  <c r="N27" i="75"/>
  <c r="N33" i="75"/>
  <c r="B26" i="75"/>
  <c r="L8" i="75"/>
  <c r="L9" i="75"/>
  <c r="L10" i="75"/>
  <c r="L11" i="75"/>
  <c r="L12" i="75"/>
  <c r="L13" i="75"/>
  <c r="L14" i="75"/>
  <c r="L15" i="75"/>
  <c r="L16" i="75"/>
  <c r="L17" i="75"/>
  <c r="L18" i="75"/>
  <c r="L19" i="75"/>
  <c r="L20" i="75"/>
  <c r="L24" i="75"/>
  <c r="L25" i="75"/>
  <c r="L26" i="75"/>
  <c r="L21" i="75"/>
  <c r="L22" i="75"/>
  <c r="L23" i="75"/>
  <c r="B33" i="75"/>
  <c r="K27" i="75"/>
  <c r="J27" i="75"/>
  <c r="I27" i="75"/>
  <c r="H27" i="75"/>
  <c r="G27" i="75"/>
  <c r="X83" i="50"/>
  <c r="W83" i="50"/>
  <c r="X48" i="50"/>
  <c r="W48" i="50"/>
  <c r="X35" i="50"/>
  <c r="W35" i="50"/>
  <c r="X23" i="50"/>
  <c r="W23" i="50"/>
  <c r="V23" i="50"/>
  <c r="U23" i="50"/>
  <c r="AE53" i="48"/>
  <c r="AE49" i="48"/>
  <c r="AE52" i="48"/>
  <c r="AE43" i="48"/>
  <c r="AE47" i="48"/>
  <c r="AE50" i="48"/>
  <c r="AE51" i="48"/>
  <c r="AD48" i="48"/>
  <c r="AD47" i="48"/>
  <c r="AD53" i="48"/>
  <c r="AD52" i="48"/>
  <c r="AD51" i="48"/>
  <c r="AD50" i="48"/>
  <c r="AD49" i="48"/>
  <c r="AD46" i="48"/>
  <c r="AD45" i="48"/>
  <c r="AD43" i="48"/>
  <c r="AC53" i="48"/>
  <c r="AC52" i="48"/>
  <c r="AC51" i="48"/>
  <c r="AC50" i="48"/>
  <c r="AC49" i="48"/>
  <c r="AC48" i="48"/>
  <c r="AC47" i="48"/>
  <c r="AC46" i="48"/>
  <c r="AC45" i="48"/>
  <c r="AC44" i="48"/>
  <c r="AC43" i="48"/>
  <c r="AC42" i="48"/>
  <c r="AC58" i="48"/>
  <c r="BA56" i="48"/>
  <c r="AB31" i="49"/>
  <c r="AA31" i="49"/>
  <c r="Z31" i="49"/>
  <c r="Y31" i="49"/>
  <c r="X31" i="49"/>
  <c r="W31" i="49"/>
  <c r="AC28" i="49"/>
  <c r="AC27" i="49"/>
  <c r="AC23" i="49"/>
  <c r="AC22" i="49"/>
  <c r="AC21" i="49"/>
  <c r="AC19" i="49"/>
  <c r="AC17" i="49"/>
  <c r="AC15" i="49"/>
  <c r="AC13" i="49"/>
  <c r="AC12" i="49"/>
  <c r="E121" i="73"/>
  <c r="Y128" i="3" s="1"/>
  <c r="D121" i="73"/>
  <c r="X128" i="3" s="1"/>
  <c r="C121" i="73"/>
  <c r="W128" i="3" s="1"/>
  <c r="B121" i="73"/>
  <c r="V128" i="3" s="1"/>
  <c r="E120" i="73"/>
  <c r="Y127" i="3" s="1"/>
  <c r="D120" i="73"/>
  <c r="X127" i="3" s="1"/>
  <c r="C120" i="73"/>
  <c r="W127" i="3" s="1"/>
  <c r="B120" i="73"/>
  <c r="V127" i="3" s="1"/>
  <c r="E119" i="73"/>
  <c r="Y126" i="3" s="1"/>
  <c r="D119" i="73"/>
  <c r="X126" i="3" s="1"/>
  <c r="C119" i="73"/>
  <c r="W126" i="3" s="1"/>
  <c r="B119" i="73"/>
  <c r="V126" i="3" s="1"/>
  <c r="E118" i="73"/>
  <c r="Y125" i="3" s="1"/>
  <c r="D118" i="73"/>
  <c r="X125" i="3" s="1"/>
  <c r="C118" i="73"/>
  <c r="W125" i="3" s="1"/>
  <c r="B118" i="73"/>
  <c r="V125" i="3" s="1"/>
  <c r="E117" i="73"/>
  <c r="Y124" i="3" s="1"/>
  <c r="D117" i="73"/>
  <c r="X124" i="3" s="1"/>
  <c r="C117" i="73"/>
  <c r="W124" i="3" s="1"/>
  <c r="B117" i="73"/>
  <c r="V124" i="3" s="1"/>
  <c r="B115" i="73"/>
  <c r="V122" i="3" s="1"/>
  <c r="D114" i="73"/>
  <c r="C114" i="73"/>
  <c r="W121" i="3"/>
  <c r="W74" i="3"/>
  <c r="B114" i="73"/>
  <c r="V121" i="3" s="1"/>
  <c r="D112" i="73"/>
  <c r="X119" i="3" s="1"/>
  <c r="X72" i="3"/>
  <c r="C112" i="73"/>
  <c r="W119" i="3"/>
  <c r="B112" i="73"/>
  <c r="V119" i="3"/>
  <c r="D111" i="73"/>
  <c r="X118" i="3"/>
  <c r="X165" i="3" s="1"/>
  <c r="X71" i="3"/>
  <c r="B111" i="73"/>
  <c r="V118" i="3"/>
  <c r="D110" i="73"/>
  <c r="X117" i="3"/>
  <c r="X70" i="3"/>
  <c r="C110" i="73"/>
  <c r="W117" i="3" s="1"/>
  <c r="W164" i="3" s="1"/>
  <c r="D109" i="73"/>
  <c r="C109" i="73"/>
  <c r="W116" i="3"/>
  <c r="W163" i="3" s="1"/>
  <c r="W69" i="3"/>
  <c r="B109" i="73"/>
  <c r="V116" i="3"/>
  <c r="C108" i="73"/>
  <c r="W115" i="3"/>
  <c r="B108" i="73"/>
  <c r="V115" i="3"/>
  <c r="V68" i="3"/>
  <c r="D106" i="73"/>
  <c r="X113" i="3" s="1"/>
  <c r="X160" i="3" s="1"/>
  <c r="C106" i="73"/>
  <c r="W113" i="3" s="1"/>
  <c r="B106" i="73"/>
  <c r="V113" i="3" s="1"/>
  <c r="B104" i="73"/>
  <c r="D104" i="73"/>
  <c r="X111" i="3"/>
  <c r="C104" i="73"/>
  <c r="E100" i="73"/>
  <c r="Y107" i="3" s="1"/>
  <c r="D100" i="73"/>
  <c r="X107" i="3" s="1"/>
  <c r="C100" i="73"/>
  <c r="W107" i="3" s="1"/>
  <c r="B100" i="73"/>
  <c r="V107" i="3" s="1"/>
  <c r="E74" i="73"/>
  <c r="Y81" i="3" s="1"/>
  <c r="D74" i="73"/>
  <c r="X81" i="3" s="1"/>
  <c r="C74" i="73"/>
  <c r="W81" i="3" s="1"/>
  <c r="B74" i="73"/>
  <c r="V81" i="3" s="1"/>
  <c r="E73" i="73"/>
  <c r="Y80" i="3" s="1"/>
  <c r="D73" i="73"/>
  <c r="X80" i="3" s="1"/>
  <c r="C73" i="73"/>
  <c r="W80" i="3" s="1"/>
  <c r="B73" i="73"/>
  <c r="V80" i="3" s="1"/>
  <c r="E72" i="73"/>
  <c r="Y79" i="3" s="1"/>
  <c r="D72" i="73"/>
  <c r="X79" i="3" s="1"/>
  <c r="C72" i="73"/>
  <c r="W79" i="3" s="1"/>
  <c r="B72" i="73"/>
  <c r="V79" i="3" s="1"/>
  <c r="E71" i="73"/>
  <c r="Y78" i="3" s="1"/>
  <c r="D71" i="73"/>
  <c r="X78" i="3" s="1"/>
  <c r="C71" i="73"/>
  <c r="W78" i="3" s="1"/>
  <c r="B71" i="73"/>
  <c r="V78" i="3" s="1"/>
  <c r="E70" i="73"/>
  <c r="Y77" i="3" s="1"/>
  <c r="D70" i="73"/>
  <c r="X77" i="3" s="1"/>
  <c r="C70" i="73"/>
  <c r="W77" i="3" s="1"/>
  <c r="B70" i="73"/>
  <c r="V77" i="3" s="1"/>
  <c r="X74" i="3"/>
  <c r="W72" i="3"/>
  <c r="V72" i="3"/>
  <c r="W70" i="3"/>
  <c r="X69" i="3"/>
  <c r="V69" i="3"/>
  <c r="W68" i="3"/>
  <c r="X66" i="3"/>
  <c r="W66" i="3"/>
  <c r="K169" i="73"/>
  <c r="J169" i="73"/>
  <c r="I169" i="73"/>
  <c r="H169" i="73"/>
  <c r="K168" i="73"/>
  <c r="J168" i="73"/>
  <c r="I168" i="73"/>
  <c r="H168" i="73"/>
  <c r="K167" i="73"/>
  <c r="J167" i="73"/>
  <c r="I167" i="73"/>
  <c r="H167" i="73"/>
  <c r="K166" i="73"/>
  <c r="J166" i="73"/>
  <c r="I166" i="73"/>
  <c r="H166" i="73"/>
  <c r="K165" i="73"/>
  <c r="J165" i="73"/>
  <c r="I165" i="73"/>
  <c r="H165" i="73"/>
  <c r="K164" i="73"/>
  <c r="J164" i="73"/>
  <c r="I164" i="73"/>
  <c r="H164" i="73"/>
  <c r="K163" i="73"/>
  <c r="J163" i="73"/>
  <c r="I163" i="73"/>
  <c r="H163" i="73"/>
  <c r="K162" i="73"/>
  <c r="J162" i="73"/>
  <c r="I162" i="73"/>
  <c r="H162" i="73"/>
  <c r="K161" i="73"/>
  <c r="J161" i="73"/>
  <c r="I161" i="73"/>
  <c r="H161" i="73"/>
  <c r="K160" i="73"/>
  <c r="J160" i="73"/>
  <c r="I160" i="73"/>
  <c r="H160" i="73"/>
  <c r="K159" i="73"/>
  <c r="J159" i="73"/>
  <c r="I159" i="73"/>
  <c r="H159" i="73"/>
  <c r="K158" i="73"/>
  <c r="J158" i="73"/>
  <c r="I158" i="73"/>
  <c r="H158" i="73"/>
  <c r="K30" i="73"/>
  <c r="K52" i="73"/>
  <c r="K75" i="73"/>
  <c r="K145" i="73"/>
  <c r="K96" i="73"/>
  <c r="J145" i="73"/>
  <c r="J122" i="73"/>
  <c r="J96" i="73"/>
  <c r="J75" i="73"/>
  <c r="J52" i="73"/>
  <c r="J30" i="73"/>
  <c r="I145" i="73"/>
  <c r="I154" i="73" s="1"/>
  <c r="I155" i="73" s="1"/>
  <c r="I122" i="73"/>
  <c r="I96" i="73"/>
  <c r="I75" i="73"/>
  <c r="I52" i="73"/>
  <c r="I30" i="73"/>
  <c r="I7" i="73" s="1"/>
  <c r="H30" i="73"/>
  <c r="H52" i="73"/>
  <c r="H75" i="73"/>
  <c r="H96" i="73"/>
  <c r="H122" i="73"/>
  <c r="H145" i="73"/>
  <c r="K146" i="73"/>
  <c r="J146" i="73"/>
  <c r="AC145" i="73"/>
  <c r="AB145" i="73"/>
  <c r="AA145" i="73"/>
  <c r="Z145" i="73"/>
  <c r="W145" i="73"/>
  <c r="S145" i="73"/>
  <c r="AC122" i="73"/>
  <c r="AC30" i="73"/>
  <c r="AC7" i="73" s="1"/>
  <c r="AC75" i="73"/>
  <c r="AB122" i="73"/>
  <c r="AA122" i="73"/>
  <c r="AA30" i="73"/>
  <c r="AA7" i="73" s="1"/>
  <c r="AA75" i="73"/>
  <c r="Z122" i="73"/>
  <c r="S122" i="73"/>
  <c r="F97" i="73"/>
  <c r="S96" i="73"/>
  <c r="AB75" i="73"/>
  <c r="Z75" i="73"/>
  <c r="Z7" i="73" s="1"/>
  <c r="Z30" i="73"/>
  <c r="W75" i="73"/>
  <c r="S75" i="73"/>
  <c r="S52" i="73"/>
  <c r="W30" i="73"/>
  <c r="Q30" i="73"/>
  <c r="K31" i="73"/>
  <c r="AB30" i="73"/>
  <c r="V30" i="73"/>
  <c r="U30" i="73"/>
  <c r="T30" i="73"/>
  <c r="S30" i="73"/>
  <c r="F7" i="73"/>
  <c r="B16" i="45"/>
  <c r="E9" i="70"/>
  <c r="AC9" i="70" s="1"/>
  <c r="S37" i="70"/>
  <c r="D27" i="70" s="1"/>
  <c r="R37" i="70"/>
  <c r="C27" i="70" s="1"/>
  <c r="Q37" i="70"/>
  <c r="B27" i="70" s="1"/>
  <c r="B24" i="70"/>
  <c r="B25" i="70"/>
  <c r="B31" i="70"/>
  <c r="B33" i="70"/>
  <c r="T40" i="70"/>
  <c r="U40" i="70" s="1"/>
  <c r="U31" i="70"/>
  <c r="S43" i="70"/>
  <c r="R43" i="70"/>
  <c r="Q43" i="70"/>
  <c r="S40" i="70"/>
  <c r="R40" i="70"/>
  <c r="Q40" i="70"/>
  <c r="T34" i="70"/>
  <c r="E31" i="70"/>
  <c r="AC31" i="70" s="1"/>
  <c r="S34" i="70"/>
  <c r="R34" i="70"/>
  <c r="Q34" i="70"/>
  <c r="T31" i="70"/>
  <c r="S31" i="70"/>
  <c r="R31" i="70"/>
  <c r="Q31" i="70"/>
  <c r="Q28" i="70"/>
  <c r="S25" i="70"/>
  <c r="R25" i="70"/>
  <c r="Q25" i="70"/>
  <c r="S22" i="70"/>
  <c r="R22" i="70"/>
  <c r="Q22" i="70"/>
  <c r="Q19" i="70"/>
  <c r="Q16" i="70"/>
  <c r="Q12" i="70"/>
  <c r="Q6" i="70"/>
  <c r="R6" i="70"/>
  <c r="S6" i="70"/>
  <c r="L65" i="8"/>
  <c r="Q43" i="8"/>
  <c r="R39" i="8"/>
  <c r="AS31" i="47"/>
  <c r="AS46" i="47"/>
  <c r="AS53" i="47" s="1"/>
  <c r="AS54" i="47" s="1"/>
  <c r="AS57" i="47" s="1"/>
  <c r="U169" i="3"/>
  <c r="T169" i="3"/>
  <c r="U168" i="3"/>
  <c r="T168" i="3"/>
  <c r="U167" i="3"/>
  <c r="T167" i="3"/>
  <c r="U166" i="3"/>
  <c r="T166" i="3"/>
  <c r="U165" i="3"/>
  <c r="T165" i="3"/>
  <c r="U164" i="3"/>
  <c r="T164" i="3"/>
  <c r="U162" i="3"/>
  <c r="T162" i="3"/>
  <c r="U160" i="3"/>
  <c r="T160" i="3"/>
  <c r="U159" i="3"/>
  <c r="T159" i="3"/>
  <c r="S169" i="3"/>
  <c r="S168" i="3"/>
  <c r="S167" i="3"/>
  <c r="S166" i="3"/>
  <c r="S165" i="3"/>
  <c r="S164" i="3"/>
  <c r="S162" i="3"/>
  <c r="S160" i="3"/>
  <c r="S159" i="3"/>
  <c r="E8" i="70"/>
  <c r="U27" i="71"/>
  <c r="U30" i="71"/>
  <c r="AD31" i="47"/>
  <c r="X83" i="53"/>
  <c r="N31" i="68"/>
  <c r="Y23" i="50" s="1"/>
  <c r="Y35" i="50" s="1"/>
  <c r="Z116" i="3"/>
  <c r="P46" i="19"/>
  <c r="P48" i="19"/>
  <c r="AC36" i="57"/>
  <c r="AC40" i="57"/>
  <c r="AC42" i="57"/>
  <c r="AC43" i="57"/>
  <c r="AC44" i="57"/>
  <c r="AC52" i="57"/>
  <c r="AC9" i="57"/>
  <c r="AC12" i="57"/>
  <c r="AC13" i="57"/>
  <c r="AC14" i="57"/>
  <c r="AC15" i="57"/>
  <c r="AC18" i="57"/>
  <c r="AC21" i="57"/>
  <c r="AC33" i="57"/>
  <c r="AC19" i="57"/>
  <c r="W10" i="69"/>
  <c r="R35" i="71"/>
  <c r="R58" i="71"/>
  <c r="E35" i="71"/>
  <c r="I10" i="22"/>
  <c r="L7" i="22"/>
  <c r="G9" i="19"/>
  <c r="G9" i="20"/>
  <c r="G9" i="22" s="1"/>
  <c r="H9" i="19"/>
  <c r="I9" i="19"/>
  <c r="I9" i="20"/>
  <c r="I9" i="22" s="1"/>
  <c r="J9" i="19"/>
  <c r="J9" i="20" s="1"/>
  <c r="J9" i="22" s="1"/>
  <c r="B35" i="21"/>
  <c r="B58" i="21"/>
  <c r="C35" i="21"/>
  <c r="C58" i="21"/>
  <c r="E35" i="21"/>
  <c r="E58" i="21"/>
  <c r="L35" i="21"/>
  <c r="L58" i="21"/>
  <c r="P59" i="21"/>
  <c r="B10" i="34"/>
  <c r="R35" i="21"/>
  <c r="R58" i="21"/>
  <c r="T58" i="21"/>
  <c r="A37" i="20"/>
  <c r="B53" i="9"/>
  <c r="B43" i="9"/>
  <c r="E7" i="62"/>
  <c r="E8" i="62"/>
  <c r="E9" i="62"/>
  <c r="E12" i="62"/>
  <c r="E13" i="62"/>
  <c r="E14" i="62"/>
  <c r="E15" i="62"/>
  <c r="E16" i="62"/>
  <c r="E17" i="62"/>
  <c r="E18" i="62"/>
  <c r="E19" i="62"/>
  <c r="E20" i="62"/>
  <c r="E21" i="62"/>
  <c r="E22" i="62"/>
  <c r="E25" i="62"/>
  <c r="E26" i="62"/>
  <c r="E27" i="62"/>
  <c r="E29" i="62"/>
  <c r="AD26" i="53"/>
  <c r="AB26" i="53"/>
  <c r="AD25" i="53"/>
  <c r="AB25" i="53"/>
  <c r="AD24" i="53"/>
  <c r="AB24" i="53"/>
  <c r="AD22" i="53"/>
  <c r="AB22" i="53"/>
  <c r="AD23" i="53"/>
  <c r="AB23" i="53"/>
  <c r="AD19" i="53"/>
  <c r="AB19" i="53"/>
  <c r="W35" i="53"/>
  <c r="W60" i="53"/>
  <c r="N95" i="54"/>
  <c r="X60" i="48"/>
  <c r="B32" i="27"/>
  <c r="B45" i="27" s="1"/>
  <c r="AC31" i="47"/>
  <c r="Q44" i="8"/>
  <c r="N27" i="51"/>
  <c r="M27" i="51"/>
  <c r="L27" i="51"/>
  <c r="F27" i="60"/>
  <c r="F26" i="60"/>
  <c r="F25" i="60"/>
  <c r="F18" i="60"/>
  <c r="F45" i="60"/>
  <c r="E56" i="60"/>
  <c r="E55" i="60"/>
  <c r="E51" i="60"/>
  <c r="E50" i="60"/>
  <c r="E48" i="60"/>
  <c r="E47" i="60"/>
  <c r="E44" i="60"/>
  <c r="E42" i="60"/>
  <c r="E11" i="60"/>
  <c r="E10" i="60"/>
  <c r="E8" i="60"/>
  <c r="E7" i="60"/>
  <c r="C25" i="44"/>
  <c r="C8" i="44"/>
  <c r="C15" i="44"/>
  <c r="I27" i="61"/>
  <c r="L31" i="49"/>
  <c r="X43" i="47"/>
  <c r="X53" i="47" s="1"/>
  <c r="X30" i="47"/>
  <c r="X31" i="47" s="1"/>
  <c r="M54" i="47"/>
  <c r="M57" i="47" s="1"/>
  <c r="AC8" i="70"/>
  <c r="D33" i="70"/>
  <c r="C33" i="70"/>
  <c r="D31" i="70"/>
  <c r="D24" i="70"/>
  <c r="D25" i="70"/>
  <c r="C31" i="70"/>
  <c r="C25" i="70"/>
  <c r="C24" i="70"/>
  <c r="D18" i="70"/>
  <c r="C18" i="70"/>
  <c r="D9" i="70"/>
  <c r="D7" i="70"/>
  <c r="D8" i="70"/>
  <c r="C9" i="70"/>
  <c r="C8" i="70"/>
  <c r="C7" i="70"/>
  <c r="C20" i="70" s="1"/>
  <c r="B18" i="70"/>
  <c r="B7" i="70"/>
  <c r="B8" i="70"/>
  <c r="B20" i="70" s="1"/>
  <c r="B9" i="70"/>
  <c r="AA37" i="70"/>
  <c r="Z37" i="70"/>
  <c r="Y37" i="70"/>
  <c r="X37" i="70"/>
  <c r="AA20" i="70"/>
  <c r="Z20" i="70"/>
  <c r="Y20" i="70"/>
  <c r="X20" i="70"/>
  <c r="X58" i="62"/>
  <c r="X59" i="62"/>
  <c r="X60" i="62"/>
  <c r="N11" i="62"/>
  <c r="P11" i="62"/>
  <c r="R11" i="62"/>
  <c r="R33" i="62" s="1"/>
  <c r="R12" i="62"/>
  <c r="R13" i="62"/>
  <c r="R14" i="62"/>
  <c r="R15" i="62"/>
  <c r="R16" i="62"/>
  <c r="R17" i="62"/>
  <c r="R18" i="62"/>
  <c r="R19" i="62"/>
  <c r="R20" i="62"/>
  <c r="R21" i="62"/>
  <c r="R22" i="62"/>
  <c r="R23" i="62"/>
  <c r="R24" i="62"/>
  <c r="R25" i="62"/>
  <c r="R26" i="62"/>
  <c r="R27" i="62"/>
  <c r="R28" i="62"/>
  <c r="R29" i="62"/>
  <c r="R30" i="62"/>
  <c r="R31" i="62"/>
  <c r="R32" i="62"/>
  <c r="N12" i="62"/>
  <c r="P12" i="62"/>
  <c r="N15" i="62"/>
  <c r="P15" i="62"/>
  <c r="N16" i="62"/>
  <c r="P16" i="62"/>
  <c r="N18" i="62"/>
  <c r="P18" i="62"/>
  <c r="N20" i="62"/>
  <c r="P20" i="62"/>
  <c r="P13" i="62"/>
  <c r="P14" i="62"/>
  <c r="N14" i="62"/>
  <c r="U14" i="62"/>
  <c r="P17" i="62"/>
  <c r="P19" i="62"/>
  <c r="N19" i="62"/>
  <c r="U19" i="62"/>
  <c r="T19" i="62" s="1"/>
  <c r="T44" i="62" s="1"/>
  <c r="P21" i="62"/>
  <c r="P22" i="62"/>
  <c r="N22" i="62"/>
  <c r="P23" i="62"/>
  <c r="P24" i="62"/>
  <c r="N24" i="62"/>
  <c r="P25" i="62"/>
  <c r="N25" i="62"/>
  <c r="P26" i="62"/>
  <c r="N26" i="62"/>
  <c r="P27" i="62"/>
  <c r="N27" i="62"/>
  <c r="P28" i="62"/>
  <c r="N28" i="62"/>
  <c r="U28" i="62" s="1"/>
  <c r="T28" i="62" s="1"/>
  <c r="P29" i="62"/>
  <c r="N29" i="62"/>
  <c r="U29" i="62" s="1"/>
  <c r="P30" i="62"/>
  <c r="N30" i="62"/>
  <c r="P31" i="62"/>
  <c r="U31" i="62" s="1"/>
  <c r="N31" i="62"/>
  <c r="P32" i="62"/>
  <c r="N21" i="62"/>
  <c r="U21" i="62" s="1"/>
  <c r="N23" i="62"/>
  <c r="N17" i="62"/>
  <c r="N13" i="62"/>
  <c r="N32" i="62"/>
  <c r="U58" i="62"/>
  <c r="R58" i="62"/>
  <c r="Q36" i="62"/>
  <c r="Q39" i="62"/>
  <c r="Q40" i="62"/>
  <c r="Q41" i="62"/>
  <c r="Q44" i="62"/>
  <c r="Q45" i="62"/>
  <c r="P58" i="62"/>
  <c r="P61" i="62" s="1"/>
  <c r="P62" i="62" s="1"/>
  <c r="O36" i="62"/>
  <c r="O44" i="62"/>
  <c r="N58" i="62"/>
  <c r="M36" i="62"/>
  <c r="M44" i="62"/>
  <c r="M57" i="62"/>
  <c r="L58" i="62"/>
  <c r="K36" i="62"/>
  <c r="K37" i="62"/>
  <c r="K38" i="62"/>
  <c r="K39" i="62"/>
  <c r="K40" i="62"/>
  <c r="K41" i="62"/>
  <c r="K42" i="62"/>
  <c r="K43" i="62"/>
  <c r="K44" i="62"/>
  <c r="K45" i="62"/>
  <c r="K57" i="62"/>
  <c r="J58" i="62"/>
  <c r="J61" i="62" s="1"/>
  <c r="I36" i="62"/>
  <c r="I37" i="62"/>
  <c r="I38" i="62"/>
  <c r="I39" i="62"/>
  <c r="I40" i="62"/>
  <c r="I41" i="62"/>
  <c r="I42" i="62"/>
  <c r="I57" i="62"/>
  <c r="Y56" i="62"/>
  <c r="Y57" i="62" s="1"/>
  <c r="L11" i="62"/>
  <c r="L12" i="62"/>
  <c r="L13" i="62"/>
  <c r="L14" i="62"/>
  <c r="L15" i="62"/>
  <c r="L16" i="62"/>
  <c r="L17" i="62"/>
  <c r="L18" i="62"/>
  <c r="L19" i="62"/>
  <c r="L20" i="62"/>
  <c r="L21" i="62"/>
  <c r="L22" i="62"/>
  <c r="L23" i="62"/>
  <c r="L24" i="62"/>
  <c r="L25" i="62"/>
  <c r="L26" i="62"/>
  <c r="L27" i="62"/>
  <c r="L28" i="62"/>
  <c r="L29" i="62"/>
  <c r="L30" i="62"/>
  <c r="L31" i="62"/>
  <c r="L32" i="62"/>
  <c r="J11" i="62"/>
  <c r="J12" i="62"/>
  <c r="J13" i="62"/>
  <c r="J14" i="62"/>
  <c r="J15" i="62"/>
  <c r="J16" i="62"/>
  <c r="J17" i="62"/>
  <c r="J18" i="62"/>
  <c r="J19" i="62"/>
  <c r="J20" i="62"/>
  <c r="J21" i="62"/>
  <c r="J22" i="62"/>
  <c r="J23" i="62"/>
  <c r="J24" i="62"/>
  <c r="J25" i="62"/>
  <c r="J26" i="62"/>
  <c r="J27" i="62"/>
  <c r="J28" i="62"/>
  <c r="J29" i="62"/>
  <c r="J30" i="62"/>
  <c r="J31" i="62"/>
  <c r="J32" i="62"/>
  <c r="AA12" i="62"/>
  <c r="AA14" i="62" s="1"/>
  <c r="W7" i="62"/>
  <c r="T7" i="62"/>
  <c r="D29" i="62"/>
  <c r="D27" i="62"/>
  <c r="D26" i="62"/>
  <c r="D25" i="62"/>
  <c r="D22" i="62"/>
  <c r="D21" i="62"/>
  <c r="D20" i="62"/>
  <c r="D19" i="62"/>
  <c r="D18" i="62"/>
  <c r="D17" i="62"/>
  <c r="D16" i="62"/>
  <c r="D15" i="62"/>
  <c r="D14" i="62"/>
  <c r="D13" i="62"/>
  <c r="D12" i="62"/>
  <c r="D7" i="62"/>
  <c r="D8" i="62"/>
  <c r="D9" i="62"/>
  <c r="D57" i="62"/>
  <c r="C34" i="62"/>
  <c r="B34" i="62"/>
  <c r="B57" i="62" s="1"/>
  <c r="D34" i="63"/>
  <c r="H30" i="63"/>
  <c r="H11" i="63"/>
  <c r="H16" i="63" s="1"/>
  <c r="H21" i="63"/>
  <c r="H22" i="63"/>
  <c r="C34" i="63"/>
  <c r="B34" i="63"/>
  <c r="N28" i="69"/>
  <c r="B57" i="69"/>
  <c r="N26" i="69"/>
  <c r="C16" i="19"/>
  <c r="G66" i="54"/>
  <c r="D15" i="33"/>
  <c r="H35" i="22"/>
  <c r="I35" i="22"/>
  <c r="J35" i="22"/>
  <c r="M35" i="22"/>
  <c r="M58" i="22"/>
  <c r="G8" i="19"/>
  <c r="G8" i="20"/>
  <c r="S54" i="9"/>
  <c r="S73" i="9"/>
  <c r="T29" i="71"/>
  <c r="U16" i="71"/>
  <c r="U22" i="71"/>
  <c r="U23" i="71"/>
  <c r="U25" i="71"/>
  <c r="U29" i="71"/>
  <c r="U31" i="71"/>
  <c r="U32" i="71"/>
  <c r="U33" i="71"/>
  <c r="B58" i="71"/>
  <c r="B35" i="71"/>
  <c r="C58" i="71"/>
  <c r="C35" i="71"/>
  <c r="E58" i="71"/>
  <c r="K58" i="71"/>
  <c r="K35" i="71"/>
  <c r="R48" i="8"/>
  <c r="R49" i="8"/>
  <c r="B5" i="33"/>
  <c r="B27" i="27"/>
  <c r="C17" i="19"/>
  <c r="C18" i="19"/>
  <c r="C19" i="19"/>
  <c r="C35" i="19"/>
  <c r="C58" i="19"/>
  <c r="E44" i="19"/>
  <c r="E45" i="19"/>
  <c r="E46" i="19"/>
  <c r="E47" i="19"/>
  <c r="E48" i="19"/>
  <c r="E49" i="19"/>
  <c r="E50" i="19"/>
  <c r="E51" i="19"/>
  <c r="E52" i="19"/>
  <c r="E53" i="19"/>
  <c r="E54" i="19"/>
  <c r="E55" i="19"/>
  <c r="E56" i="19"/>
  <c r="E57" i="19"/>
  <c r="P62" i="20"/>
  <c r="L15" i="20"/>
  <c r="J15" i="20"/>
  <c r="I15" i="20"/>
  <c r="H15" i="20"/>
  <c r="G15" i="20"/>
  <c r="L15" i="19"/>
  <c r="B39" i="19"/>
  <c r="B41" i="19"/>
  <c r="B42" i="19"/>
  <c r="B43" i="19"/>
  <c r="B44" i="19"/>
  <c r="B45" i="19"/>
  <c r="B46" i="19"/>
  <c r="B47" i="19"/>
  <c r="B48" i="19"/>
  <c r="B49" i="19"/>
  <c r="B50" i="19"/>
  <c r="B51" i="19"/>
  <c r="B52" i="19"/>
  <c r="B53" i="19"/>
  <c r="B54" i="19"/>
  <c r="B55" i="19"/>
  <c r="B56" i="19"/>
  <c r="B57" i="19"/>
  <c r="G43" i="19"/>
  <c r="G45" i="19"/>
  <c r="G51" i="19"/>
  <c r="G53" i="19"/>
  <c r="G54" i="19"/>
  <c r="G55" i="19"/>
  <c r="G57" i="19"/>
  <c r="H41" i="19"/>
  <c r="H43" i="19"/>
  <c r="H45" i="19"/>
  <c r="H47" i="19"/>
  <c r="H48" i="19"/>
  <c r="H50" i="19"/>
  <c r="H52" i="19"/>
  <c r="H54" i="19"/>
  <c r="H56" i="19"/>
  <c r="H57" i="19"/>
  <c r="I42" i="19"/>
  <c r="I44" i="19"/>
  <c r="I45" i="19"/>
  <c r="I46" i="19"/>
  <c r="I49" i="19"/>
  <c r="I50" i="19"/>
  <c r="I52" i="19"/>
  <c r="I57" i="19"/>
  <c r="J39" i="19"/>
  <c r="J42" i="19"/>
  <c r="J44" i="19"/>
  <c r="J46" i="19"/>
  <c r="J48" i="19"/>
  <c r="J50" i="19"/>
  <c r="J54" i="19"/>
  <c r="J56" i="19"/>
  <c r="M35" i="19"/>
  <c r="M58" i="19"/>
  <c r="M59" i="19"/>
  <c r="O29" i="19"/>
  <c r="P22" i="19"/>
  <c r="P23" i="19"/>
  <c r="P25" i="19"/>
  <c r="P29" i="19"/>
  <c r="P31" i="19"/>
  <c r="P32" i="19"/>
  <c r="P33" i="19"/>
  <c r="P44" i="19"/>
  <c r="P45" i="19"/>
  <c r="P47" i="19"/>
  <c r="J15" i="19"/>
  <c r="I15" i="19"/>
  <c r="H15" i="19"/>
  <c r="G15" i="19"/>
  <c r="E15" i="19"/>
  <c r="C15" i="19"/>
  <c r="B15" i="19"/>
  <c r="W15" i="71"/>
  <c r="AA141" i="3"/>
  <c r="AA118" i="3"/>
  <c r="AC33" i="65"/>
  <c r="AC25" i="65"/>
  <c r="AC23" i="65"/>
  <c r="AC22" i="65"/>
  <c r="AC18" i="65"/>
  <c r="AC20" i="65"/>
  <c r="C20" i="45"/>
  <c r="C18" i="45"/>
  <c r="C16" i="45"/>
  <c r="C14" i="45"/>
  <c r="C15" i="45"/>
  <c r="B26" i="45"/>
  <c r="B25" i="45"/>
  <c r="B24" i="45"/>
  <c r="B22" i="45"/>
  <c r="B20" i="45"/>
  <c r="B18" i="45"/>
  <c r="B14" i="45"/>
  <c r="B15" i="45"/>
  <c r="B5" i="34"/>
  <c r="M36" i="56"/>
  <c r="L36" i="56"/>
  <c r="AN13" i="47"/>
  <c r="AO46" i="47"/>
  <c r="AO53" i="47"/>
  <c r="AO31" i="47"/>
  <c r="M95" i="54"/>
  <c r="AB43" i="48"/>
  <c r="AB44" i="48"/>
  <c r="AB45" i="48"/>
  <c r="AB46" i="48"/>
  <c r="AB47" i="48"/>
  <c r="AB48" i="48"/>
  <c r="AB49" i="48"/>
  <c r="AB50" i="48"/>
  <c r="AB51" i="48"/>
  <c r="AB52" i="48"/>
  <c r="AB53" i="48"/>
  <c r="AB58" i="48"/>
  <c r="T158" i="3"/>
  <c r="K118" i="54"/>
  <c r="L118" i="54"/>
  <c r="M118" i="54"/>
  <c r="N118" i="54"/>
  <c r="L95" i="54"/>
  <c r="K95" i="54"/>
  <c r="N70" i="54"/>
  <c r="M70" i="54"/>
  <c r="L70" i="54"/>
  <c r="K70" i="54"/>
  <c r="CK31" i="54"/>
  <c r="CK32" i="54"/>
  <c r="CK54" i="54" s="1"/>
  <c r="CK34" i="54"/>
  <c r="CK36" i="54"/>
  <c r="CJ44" i="54" s="1"/>
  <c r="CJ54" i="54"/>
  <c r="CI54" i="54"/>
  <c r="CH54" i="54"/>
  <c r="CG54" i="54"/>
  <c r="CF54" i="54"/>
  <c r="CE54" i="54"/>
  <c r="CD54" i="54"/>
  <c r="CC54" i="54"/>
  <c r="CB54" i="54"/>
  <c r="CA54" i="54"/>
  <c r="BZ54" i="54"/>
  <c r="BY54" i="54"/>
  <c r="BV31" i="54"/>
  <c r="BV32" i="54"/>
  <c r="BV34" i="54"/>
  <c r="BV54" i="54" s="1"/>
  <c r="BV36" i="54"/>
  <c r="BU54" i="54"/>
  <c r="BT54" i="54"/>
  <c r="BS54" i="54"/>
  <c r="BR54" i="54"/>
  <c r="BQ54" i="54"/>
  <c r="BP54" i="54"/>
  <c r="BO54" i="54"/>
  <c r="BN54" i="54"/>
  <c r="BM54" i="54"/>
  <c r="BL54" i="54"/>
  <c r="BK54" i="54"/>
  <c r="BJ54" i="54"/>
  <c r="BH31" i="54"/>
  <c r="BH32" i="54"/>
  <c r="BH12" i="54"/>
  <c r="BH15" i="54"/>
  <c r="BH16" i="54"/>
  <c r="BH17" i="54"/>
  <c r="BH18" i="54"/>
  <c r="BH19" i="54"/>
  <c r="BH20" i="54"/>
  <c r="BH21" i="54"/>
  <c r="BH36" i="54"/>
  <c r="BH34" i="54"/>
  <c r="BH42" i="54" s="1"/>
  <c r="BG54" i="54"/>
  <c r="BF54" i="54"/>
  <c r="BE54" i="54"/>
  <c r="BD54" i="54"/>
  <c r="BC54" i="54"/>
  <c r="BB54" i="54"/>
  <c r="BA54" i="54"/>
  <c r="AZ54" i="54"/>
  <c r="AY54" i="54"/>
  <c r="AX54" i="54"/>
  <c r="AW54" i="54"/>
  <c r="AV54" i="54"/>
  <c r="AR31" i="54"/>
  <c r="AR32" i="54"/>
  <c r="AR12" i="54"/>
  <c r="AR15" i="54"/>
  <c r="AR16" i="54"/>
  <c r="AR17" i="54"/>
  <c r="AR18" i="54"/>
  <c r="AR19" i="54"/>
  <c r="AR20" i="54"/>
  <c r="AR21" i="54"/>
  <c r="AR36" i="54"/>
  <c r="AR34" i="54"/>
  <c r="AQ54" i="54"/>
  <c r="AP54" i="54"/>
  <c r="AO54" i="54"/>
  <c r="AN54" i="54"/>
  <c r="AM54" i="54"/>
  <c r="AL54" i="54"/>
  <c r="AK54" i="54"/>
  <c r="AJ54" i="54"/>
  <c r="AI54" i="54"/>
  <c r="AH54" i="54"/>
  <c r="AG54" i="54"/>
  <c r="AF54" i="54"/>
  <c r="CK24" i="54"/>
  <c r="CK25" i="54"/>
  <c r="CK26" i="54"/>
  <c r="CK27" i="54"/>
  <c r="CK28" i="54"/>
  <c r="CK29" i="54"/>
  <c r="CJ53" i="54"/>
  <c r="CI53" i="54"/>
  <c r="CH53" i="54"/>
  <c r="CG53" i="54"/>
  <c r="CF53" i="54"/>
  <c r="CE53" i="54"/>
  <c r="CD53" i="54"/>
  <c r="CC53" i="54"/>
  <c r="CB53" i="54"/>
  <c r="CA53" i="54"/>
  <c r="BZ53" i="54"/>
  <c r="BY53" i="54"/>
  <c r="BV24" i="54"/>
  <c r="BV25" i="54"/>
  <c r="BV26" i="54"/>
  <c r="BV27" i="54"/>
  <c r="BV28" i="54"/>
  <c r="BV29" i="54"/>
  <c r="BU53" i="54"/>
  <c r="BT53" i="54"/>
  <c r="BS53" i="54"/>
  <c r="BR53" i="54"/>
  <c r="BQ53" i="54"/>
  <c r="BP53" i="54"/>
  <c r="BO53" i="54"/>
  <c r="BN53" i="54"/>
  <c r="BM53" i="54"/>
  <c r="BL53" i="54"/>
  <c r="BK53" i="54"/>
  <c r="BJ53" i="54"/>
  <c r="BH24" i="54"/>
  <c r="BH53" i="54" s="1"/>
  <c r="BH25" i="54"/>
  <c r="BH26" i="54"/>
  <c r="BH27" i="54"/>
  <c r="BH28" i="54"/>
  <c r="BH29" i="54"/>
  <c r="BG53" i="54"/>
  <c r="BF53" i="54"/>
  <c r="BE53" i="54"/>
  <c r="BD53" i="54"/>
  <c r="BC53" i="54"/>
  <c r="BB53" i="54"/>
  <c r="BA53" i="54"/>
  <c r="AZ53" i="54"/>
  <c r="AY53" i="54"/>
  <c r="AX53" i="54"/>
  <c r="AW53" i="54"/>
  <c r="AV53" i="54"/>
  <c r="AR24" i="54"/>
  <c r="AR25" i="54"/>
  <c r="AR26" i="54"/>
  <c r="AR27" i="54"/>
  <c r="AR28" i="54"/>
  <c r="AR29" i="54"/>
  <c r="AQ53" i="54"/>
  <c r="AP53" i="54"/>
  <c r="AO53" i="54"/>
  <c r="AN53" i="54"/>
  <c r="AM53" i="54"/>
  <c r="AL53" i="54"/>
  <c r="AK53" i="54"/>
  <c r="AJ53" i="54"/>
  <c r="AI53" i="54"/>
  <c r="AH53" i="54"/>
  <c r="AG53" i="54"/>
  <c r="AF53" i="54"/>
  <c r="CK12" i="54"/>
  <c r="CK15" i="54"/>
  <c r="CK52" i="54" s="1"/>
  <c r="CK16" i="54"/>
  <c r="CK17" i="54"/>
  <c r="CK18" i="54"/>
  <c r="CK19" i="54"/>
  <c r="CK20" i="54"/>
  <c r="CK21" i="54"/>
  <c r="CJ52" i="54"/>
  <c r="CI52" i="54"/>
  <c r="CH52" i="54"/>
  <c r="CG52" i="54"/>
  <c r="CF52" i="54"/>
  <c r="CE52" i="54"/>
  <c r="CD52" i="54"/>
  <c r="CC52" i="54"/>
  <c r="CB52" i="54"/>
  <c r="CA52" i="54"/>
  <c r="BZ52" i="54"/>
  <c r="BY52" i="54"/>
  <c r="BV12" i="54"/>
  <c r="BV15" i="54"/>
  <c r="BV16" i="54"/>
  <c r="BV17" i="54"/>
  <c r="BV18" i="54"/>
  <c r="BV19" i="54"/>
  <c r="BV20" i="54"/>
  <c r="BV21" i="54"/>
  <c r="BU52" i="54"/>
  <c r="BT52" i="54"/>
  <c r="BS52" i="54"/>
  <c r="BR52" i="54"/>
  <c r="BQ52" i="54"/>
  <c r="BP52" i="54"/>
  <c r="BO52" i="54"/>
  <c r="BN52" i="54"/>
  <c r="BM52" i="54"/>
  <c r="BL52" i="54"/>
  <c r="BK52" i="54"/>
  <c r="BJ52" i="54"/>
  <c r="BG52" i="54"/>
  <c r="BF52" i="54"/>
  <c r="BE52" i="54"/>
  <c r="BD52" i="54"/>
  <c r="BC52" i="54"/>
  <c r="BB52" i="54"/>
  <c r="BA52" i="54"/>
  <c r="AZ52" i="54"/>
  <c r="AY52" i="54"/>
  <c r="AX52" i="54"/>
  <c r="AW52" i="54"/>
  <c r="AV52" i="54"/>
  <c r="AQ52" i="54"/>
  <c r="AP52" i="54"/>
  <c r="AO52" i="54"/>
  <c r="AN52" i="54"/>
  <c r="AM52" i="54"/>
  <c r="AL52" i="54"/>
  <c r="AK52" i="54"/>
  <c r="AJ52" i="54"/>
  <c r="AI52" i="54"/>
  <c r="AH52" i="54"/>
  <c r="AG52" i="54"/>
  <c r="AF52" i="54"/>
  <c r="BY42" i="54"/>
  <c r="BZ42" i="54"/>
  <c r="CA42" i="54"/>
  <c r="CB42" i="54"/>
  <c r="CC42" i="54"/>
  <c r="CD42" i="54"/>
  <c r="CE42" i="54"/>
  <c r="CF42" i="54"/>
  <c r="CG42" i="54"/>
  <c r="CH42" i="54"/>
  <c r="CI42" i="54"/>
  <c r="CJ42" i="54"/>
  <c r="BJ42" i="54"/>
  <c r="BK42" i="54"/>
  <c r="BL42" i="54"/>
  <c r="BM42" i="54"/>
  <c r="BN42" i="54"/>
  <c r="BO42" i="54"/>
  <c r="BP42" i="54"/>
  <c r="BQ42" i="54"/>
  <c r="BR42" i="54"/>
  <c r="BS42" i="54"/>
  <c r="BT42" i="54"/>
  <c r="BU42" i="54"/>
  <c r="BG42" i="54"/>
  <c r="BF42" i="54"/>
  <c r="BE42" i="54"/>
  <c r="BD42" i="54"/>
  <c r="BC42" i="54"/>
  <c r="BB42" i="54"/>
  <c r="BA42" i="54"/>
  <c r="AZ42" i="54"/>
  <c r="AY42" i="54"/>
  <c r="AX42" i="54"/>
  <c r="AW42" i="54"/>
  <c r="AV42" i="54"/>
  <c r="AQ42" i="54"/>
  <c r="AP42" i="54"/>
  <c r="AO42" i="54"/>
  <c r="AN42" i="54"/>
  <c r="AM42" i="54"/>
  <c r="AL42" i="54"/>
  <c r="AK42" i="54"/>
  <c r="AJ42" i="54"/>
  <c r="AI42" i="54"/>
  <c r="AH42" i="54"/>
  <c r="AG42" i="54"/>
  <c r="AF42" i="54"/>
  <c r="Q42" i="54"/>
  <c r="O34" i="54"/>
  <c r="O42" i="54" s="1"/>
  <c r="N34" i="54"/>
  <c r="N42" i="54" s="1"/>
  <c r="M34" i="54"/>
  <c r="M42" i="54" s="1"/>
  <c r="L34" i="54"/>
  <c r="L42" i="54" s="1"/>
  <c r="K42" i="54"/>
  <c r="BY41" i="54"/>
  <c r="BZ41" i="54"/>
  <c r="CA41" i="54"/>
  <c r="CB41" i="54"/>
  <c r="CC41" i="54"/>
  <c r="CD41" i="54"/>
  <c r="CE41" i="54"/>
  <c r="CF41" i="54"/>
  <c r="CG41" i="54"/>
  <c r="CH41" i="54"/>
  <c r="CI41" i="54"/>
  <c r="CJ41" i="54"/>
  <c r="BJ41" i="54"/>
  <c r="BK41" i="54"/>
  <c r="BL41" i="54"/>
  <c r="BM41" i="54"/>
  <c r="BN41" i="54"/>
  <c r="BO41" i="54"/>
  <c r="BP41" i="54"/>
  <c r="BQ41" i="54"/>
  <c r="BR41" i="54"/>
  <c r="BS41" i="54"/>
  <c r="BT41" i="54"/>
  <c r="BU41" i="54"/>
  <c r="BG41" i="54"/>
  <c r="BF41" i="54"/>
  <c r="BE41" i="54"/>
  <c r="BD41" i="54"/>
  <c r="BC41" i="54"/>
  <c r="BB41" i="54"/>
  <c r="BA41" i="54"/>
  <c r="AZ41" i="54"/>
  <c r="AY41" i="54"/>
  <c r="AX41" i="54"/>
  <c r="AW41" i="54"/>
  <c r="AV41" i="54"/>
  <c r="AQ41" i="54"/>
  <c r="AP41" i="54"/>
  <c r="AO41" i="54"/>
  <c r="AN41" i="54"/>
  <c r="AM41" i="54"/>
  <c r="AL41" i="54"/>
  <c r="AK41" i="54"/>
  <c r="AJ41" i="54"/>
  <c r="AI41" i="54"/>
  <c r="AH41" i="54"/>
  <c r="AG41" i="54"/>
  <c r="AF41" i="54"/>
  <c r="Q41" i="54"/>
  <c r="O24" i="54"/>
  <c r="O25" i="54"/>
  <c r="O27" i="54"/>
  <c r="O29" i="54"/>
  <c r="N24" i="54"/>
  <c r="N25" i="54"/>
  <c r="N27" i="54"/>
  <c r="N29" i="54"/>
  <c r="M24" i="54"/>
  <c r="M25" i="54"/>
  <c r="M27" i="54"/>
  <c r="M41" i="54" s="1"/>
  <c r="M29" i="54"/>
  <c r="L24" i="54"/>
  <c r="L25" i="54"/>
  <c r="L27" i="54"/>
  <c r="L29" i="54"/>
  <c r="K41" i="54"/>
  <c r="BY40" i="54"/>
  <c r="BZ40" i="54"/>
  <c r="CA40" i="54"/>
  <c r="CB40" i="54"/>
  <c r="CC40" i="54"/>
  <c r="CD40" i="54"/>
  <c r="CE40" i="54"/>
  <c r="CF40" i="54"/>
  <c r="CG40" i="54"/>
  <c r="CH40" i="54"/>
  <c r="CI40" i="54"/>
  <c r="CJ40" i="54"/>
  <c r="BJ40" i="54"/>
  <c r="BK40" i="54"/>
  <c r="BL40" i="54"/>
  <c r="BM40" i="54"/>
  <c r="BN40" i="54"/>
  <c r="BO40" i="54"/>
  <c r="BP40" i="54"/>
  <c r="BQ40" i="54"/>
  <c r="BR40" i="54"/>
  <c r="BS40" i="54"/>
  <c r="BT40" i="54"/>
  <c r="BU40" i="54"/>
  <c r="BG40" i="54"/>
  <c r="BF40" i="54"/>
  <c r="BE40" i="54"/>
  <c r="BD40" i="54"/>
  <c r="BC40" i="54"/>
  <c r="BB40" i="54"/>
  <c r="BA40" i="54"/>
  <c r="AZ40" i="54"/>
  <c r="AY40" i="54"/>
  <c r="AX40" i="54"/>
  <c r="AW40" i="54"/>
  <c r="AV40" i="54"/>
  <c r="AQ40" i="54"/>
  <c r="AP40" i="54"/>
  <c r="AO40" i="54"/>
  <c r="AN40" i="54"/>
  <c r="AM40" i="54"/>
  <c r="AL40" i="54"/>
  <c r="AK40" i="54"/>
  <c r="AJ40" i="54"/>
  <c r="AI40" i="54"/>
  <c r="AH40" i="54"/>
  <c r="AG40" i="54"/>
  <c r="AF40" i="54"/>
  <c r="Q40" i="54"/>
  <c r="O12" i="54"/>
  <c r="O16" i="54"/>
  <c r="O17" i="54"/>
  <c r="O18" i="54"/>
  <c r="O19" i="54"/>
  <c r="O20" i="54"/>
  <c r="N12" i="54"/>
  <c r="N16" i="54"/>
  <c r="N17" i="54"/>
  <c r="N18" i="54"/>
  <c r="N19" i="54"/>
  <c r="N20" i="54"/>
  <c r="M12" i="54"/>
  <c r="M16" i="54"/>
  <c r="M17" i="54"/>
  <c r="M18" i="54"/>
  <c r="M19" i="54"/>
  <c r="M20" i="54"/>
  <c r="L12" i="54"/>
  <c r="L16" i="54"/>
  <c r="L40" i="54" s="1"/>
  <c r="L17" i="54"/>
  <c r="L18" i="54"/>
  <c r="L19" i="54"/>
  <c r="L20" i="54"/>
  <c r="K40" i="54"/>
  <c r="L35" i="54"/>
  <c r="O33" i="54"/>
  <c r="N33" i="54"/>
  <c r="M33" i="54"/>
  <c r="L33" i="54"/>
  <c r="CK23" i="54"/>
  <c r="BV23" i="54"/>
  <c r="BH23" i="54"/>
  <c r="AR23" i="54"/>
  <c r="BA60" i="48"/>
  <c r="AZ60" i="48"/>
  <c r="H25" i="68"/>
  <c r="I25" i="68"/>
  <c r="F7" i="51"/>
  <c r="K57" i="8"/>
  <c r="H26" i="68"/>
  <c r="I26" i="68"/>
  <c r="F8" i="51"/>
  <c r="H27" i="68"/>
  <c r="F9" i="51" s="1"/>
  <c r="I27" i="68"/>
  <c r="H28" i="68"/>
  <c r="F10" i="51" s="1"/>
  <c r="I28" i="68"/>
  <c r="H30" i="68"/>
  <c r="I30" i="68"/>
  <c r="F12" i="51" s="1"/>
  <c r="H31" i="68"/>
  <c r="I31" i="68"/>
  <c r="H32" i="68"/>
  <c r="F14" i="51" s="1"/>
  <c r="I32" i="68"/>
  <c r="H34" i="68"/>
  <c r="I34" i="68"/>
  <c r="H35" i="68"/>
  <c r="F17" i="51" s="1"/>
  <c r="I35" i="68"/>
  <c r="H36" i="68"/>
  <c r="F18" i="51" s="1"/>
  <c r="I36" i="68"/>
  <c r="J33" i="68"/>
  <c r="K33" i="68"/>
  <c r="H29" i="68"/>
  <c r="F11" i="51" s="1"/>
  <c r="I29" i="68"/>
  <c r="J28" i="68"/>
  <c r="G10" i="51" s="1"/>
  <c r="K28" i="68"/>
  <c r="H40" i="68"/>
  <c r="I40" i="68"/>
  <c r="F22" i="51" s="1"/>
  <c r="C30" i="51"/>
  <c r="V60" i="53"/>
  <c r="K27" i="51"/>
  <c r="K28" i="51" s="1"/>
  <c r="J27" i="51"/>
  <c r="S30" i="68"/>
  <c r="S25" i="68"/>
  <c r="S26" i="68"/>
  <c r="S27" i="68"/>
  <c r="S28" i="68"/>
  <c r="S29" i="68"/>
  <c r="S31" i="68"/>
  <c r="S32" i="68"/>
  <c r="S33" i="68"/>
  <c r="S34" i="68"/>
  <c r="S35" i="68"/>
  <c r="S36" i="68"/>
  <c r="S40" i="68"/>
  <c r="J40" i="68"/>
  <c r="G22" i="51" s="1"/>
  <c r="K40" i="68"/>
  <c r="G40" i="68"/>
  <c r="Z126" i="3"/>
  <c r="O40" i="68"/>
  <c r="N40" i="68"/>
  <c r="M40" i="68"/>
  <c r="J25" i="68"/>
  <c r="K25" i="68"/>
  <c r="J26" i="68"/>
  <c r="K26" i="68"/>
  <c r="J27" i="68"/>
  <c r="G9" i="51" s="1"/>
  <c r="K27" i="68"/>
  <c r="J29" i="68"/>
  <c r="K29" i="68"/>
  <c r="G11" i="51" s="1"/>
  <c r="J30" i="68"/>
  <c r="K30" i="68"/>
  <c r="G12" i="51"/>
  <c r="J31" i="68"/>
  <c r="G13" i="51" s="1"/>
  <c r="K31" i="68"/>
  <c r="J32" i="68"/>
  <c r="K32" i="68"/>
  <c r="J34" i="68"/>
  <c r="K34" i="68"/>
  <c r="G16" i="51"/>
  <c r="J35" i="68"/>
  <c r="G17" i="51" s="1"/>
  <c r="K35" i="68"/>
  <c r="J36" i="68"/>
  <c r="G18" i="51" s="1"/>
  <c r="K36" i="68"/>
  <c r="H33" i="68"/>
  <c r="I33" i="68"/>
  <c r="Z122" i="3"/>
  <c r="Z120" i="3"/>
  <c r="Z119" i="3"/>
  <c r="Z115" i="3"/>
  <c r="Z114" i="3"/>
  <c r="Z112" i="3"/>
  <c r="L6" i="68"/>
  <c r="L7" i="68"/>
  <c r="L9" i="68"/>
  <c r="L10" i="68"/>
  <c r="L11" i="68"/>
  <c r="L12" i="68"/>
  <c r="L13" i="68"/>
  <c r="L14" i="68"/>
  <c r="L15" i="68"/>
  <c r="L16" i="68"/>
  <c r="L18" i="68"/>
  <c r="L19" i="68"/>
  <c r="L20" i="68"/>
  <c r="K6" i="68"/>
  <c r="K7" i="68"/>
  <c r="K9" i="68"/>
  <c r="K10" i="68"/>
  <c r="K11" i="68"/>
  <c r="K12" i="68"/>
  <c r="K13" i="68"/>
  <c r="K14" i="68"/>
  <c r="K15" i="68"/>
  <c r="K16" i="68"/>
  <c r="K18" i="68"/>
  <c r="K19" i="68"/>
  <c r="K20" i="68"/>
  <c r="J6" i="68"/>
  <c r="J7" i="68"/>
  <c r="J8" i="68"/>
  <c r="J9" i="68"/>
  <c r="J10" i="68"/>
  <c r="J11" i="68"/>
  <c r="J12" i="68"/>
  <c r="J13" i="68"/>
  <c r="J14" i="68"/>
  <c r="J15" i="68"/>
  <c r="J16" i="68"/>
  <c r="J18" i="68"/>
  <c r="J19" i="68"/>
  <c r="J20" i="68"/>
  <c r="I6" i="68"/>
  <c r="I7" i="68"/>
  <c r="I8" i="68"/>
  <c r="I9" i="68"/>
  <c r="I10" i="68"/>
  <c r="I11" i="68"/>
  <c r="I12" i="68"/>
  <c r="I13" i="68"/>
  <c r="I14" i="68"/>
  <c r="I15" i="68"/>
  <c r="I16" i="68"/>
  <c r="I18" i="68"/>
  <c r="I19" i="68"/>
  <c r="I20" i="68"/>
  <c r="H6" i="68"/>
  <c r="H7" i="68"/>
  <c r="H8" i="68"/>
  <c r="H9" i="68"/>
  <c r="H10" i="68"/>
  <c r="H11" i="68"/>
  <c r="H12" i="68"/>
  <c r="H13" i="68"/>
  <c r="H14" i="68"/>
  <c r="H15" i="68"/>
  <c r="H16" i="68"/>
  <c r="H18" i="68"/>
  <c r="H19" i="68"/>
  <c r="H20" i="68"/>
  <c r="H35" i="59"/>
  <c r="I35" i="59"/>
  <c r="I17" i="59"/>
  <c r="I18" i="59"/>
  <c r="I19" i="59"/>
  <c r="I20" i="59"/>
  <c r="I36" i="59" s="1"/>
  <c r="I21" i="59"/>
  <c r="I22" i="59"/>
  <c r="I23" i="59"/>
  <c r="I24" i="59"/>
  <c r="I25" i="59"/>
  <c r="I26" i="59"/>
  <c r="I27" i="59"/>
  <c r="I28" i="59"/>
  <c r="I29" i="59"/>
  <c r="I30" i="59"/>
  <c r="I31" i="59"/>
  <c r="I32" i="59"/>
  <c r="I33" i="59"/>
  <c r="I34" i="59"/>
  <c r="AF34" i="59"/>
  <c r="AE34" i="59"/>
  <c r="AF33" i="59"/>
  <c r="AE33" i="59"/>
  <c r="AF32" i="59"/>
  <c r="AE32" i="59"/>
  <c r="AF31" i="59"/>
  <c r="AE31" i="59"/>
  <c r="AF30" i="59"/>
  <c r="AE30" i="59"/>
  <c r="AA34" i="65"/>
  <c r="X19" i="65"/>
  <c r="X33" i="65"/>
  <c r="X38" i="65"/>
  <c r="X39" i="65"/>
  <c r="X40" i="65"/>
  <c r="X41" i="65"/>
  <c r="X42" i="65"/>
  <c r="X43" i="65"/>
  <c r="X44" i="65"/>
  <c r="X45" i="65"/>
  <c r="X46" i="65"/>
  <c r="X47" i="65"/>
  <c r="X48" i="65"/>
  <c r="X49" i="65"/>
  <c r="X50" i="65"/>
  <c r="X51" i="65"/>
  <c r="X52" i="65"/>
  <c r="X53" i="65"/>
  <c r="X54" i="65"/>
  <c r="X55" i="65"/>
  <c r="X15" i="65"/>
  <c r="X16" i="65"/>
  <c r="X17" i="65"/>
  <c r="X18" i="65"/>
  <c r="X20" i="65"/>
  <c r="X21" i="65"/>
  <c r="X22" i="65"/>
  <c r="X23" i="65"/>
  <c r="X24" i="65"/>
  <c r="X25" i="65"/>
  <c r="X26" i="65"/>
  <c r="X27" i="65"/>
  <c r="X28" i="65"/>
  <c r="X29" i="65"/>
  <c r="X30" i="65"/>
  <c r="X31" i="65"/>
  <c r="X32" i="65"/>
  <c r="X8" i="65"/>
  <c r="X12" i="65"/>
  <c r="X11" i="65"/>
  <c r="X10" i="65"/>
  <c r="X9" i="65"/>
  <c r="X7" i="65"/>
  <c r="X6" i="65"/>
  <c r="N19" i="65"/>
  <c r="N20" i="65"/>
  <c r="N18" i="65"/>
  <c r="N33" i="65"/>
  <c r="N32" i="65"/>
  <c r="N31" i="65"/>
  <c r="N30" i="65"/>
  <c r="N29" i="65"/>
  <c r="N28" i="65"/>
  <c r="N27" i="65"/>
  <c r="N26" i="65"/>
  <c r="N25" i="65"/>
  <c r="N24" i="65"/>
  <c r="N23" i="65"/>
  <c r="N22" i="65"/>
  <c r="N21" i="65"/>
  <c r="I40" i="65"/>
  <c r="I39" i="65"/>
  <c r="I38" i="65"/>
  <c r="I41" i="65"/>
  <c r="I42" i="65"/>
  <c r="I43" i="65"/>
  <c r="I44" i="65"/>
  <c r="I45" i="65"/>
  <c r="I46" i="65"/>
  <c r="I47" i="65"/>
  <c r="I48" i="65"/>
  <c r="I49" i="65"/>
  <c r="I50" i="65"/>
  <c r="I51" i="65"/>
  <c r="I52" i="65"/>
  <c r="I53" i="65"/>
  <c r="I54" i="65"/>
  <c r="I55" i="65"/>
  <c r="I15" i="65"/>
  <c r="I16" i="65"/>
  <c r="I17" i="65"/>
  <c r="I18" i="65"/>
  <c r="I19" i="65"/>
  <c r="I20" i="65"/>
  <c r="I21" i="65"/>
  <c r="I22" i="65"/>
  <c r="I23" i="65"/>
  <c r="I24" i="65"/>
  <c r="I25" i="65"/>
  <c r="I26" i="65"/>
  <c r="I27" i="65"/>
  <c r="I28" i="65"/>
  <c r="I29" i="65"/>
  <c r="I30" i="65"/>
  <c r="I31" i="65"/>
  <c r="I32" i="65"/>
  <c r="I33" i="65"/>
  <c r="I8" i="65"/>
  <c r="S33" i="65"/>
  <c r="S32" i="65"/>
  <c r="S31" i="65"/>
  <c r="S30" i="65"/>
  <c r="S29" i="65"/>
  <c r="S28" i="65"/>
  <c r="S27" i="65"/>
  <c r="S26" i="65"/>
  <c r="S25" i="65"/>
  <c r="S24" i="65"/>
  <c r="S23" i="65"/>
  <c r="S22" i="65"/>
  <c r="S21" i="65"/>
  <c r="S20" i="65"/>
  <c r="S18" i="65"/>
  <c r="S19" i="65"/>
  <c r="S38" i="65"/>
  <c r="S39" i="65"/>
  <c r="S40" i="65"/>
  <c r="S41" i="65"/>
  <c r="S42" i="65"/>
  <c r="S43" i="65"/>
  <c r="S44" i="65"/>
  <c r="S45" i="65"/>
  <c r="S46" i="65"/>
  <c r="S47" i="65"/>
  <c r="S48" i="65"/>
  <c r="S49" i="65"/>
  <c r="S50" i="65"/>
  <c r="S51" i="65"/>
  <c r="S52" i="65"/>
  <c r="S53" i="65"/>
  <c r="S54" i="65"/>
  <c r="S55" i="65"/>
  <c r="S8" i="65"/>
  <c r="R34" i="65"/>
  <c r="Q34" i="65"/>
  <c r="P34" i="65"/>
  <c r="S15" i="65"/>
  <c r="S16" i="65"/>
  <c r="S17" i="65"/>
  <c r="S12" i="65"/>
  <c r="S11" i="65"/>
  <c r="S10" i="65"/>
  <c r="S9" i="65"/>
  <c r="S7" i="65"/>
  <c r="S6" i="65"/>
  <c r="H34" i="65"/>
  <c r="I12" i="65"/>
  <c r="I11" i="65"/>
  <c r="I10" i="65"/>
  <c r="I9" i="65"/>
  <c r="I7" i="65"/>
  <c r="I6" i="65"/>
  <c r="D38" i="65"/>
  <c r="D39" i="65"/>
  <c r="D40" i="65"/>
  <c r="D41" i="65"/>
  <c r="D42" i="65"/>
  <c r="D43" i="65"/>
  <c r="D44" i="65"/>
  <c r="D45" i="65"/>
  <c r="D46" i="65"/>
  <c r="D47" i="65"/>
  <c r="D48" i="65"/>
  <c r="D49" i="65"/>
  <c r="D50" i="65"/>
  <c r="D51" i="65"/>
  <c r="D52" i="65"/>
  <c r="D53" i="65"/>
  <c r="D54" i="65"/>
  <c r="D55" i="65"/>
  <c r="D15" i="65"/>
  <c r="D16" i="65"/>
  <c r="D17" i="65"/>
  <c r="D18" i="65"/>
  <c r="D19" i="65"/>
  <c r="D20" i="65"/>
  <c r="D21" i="65"/>
  <c r="D22" i="65"/>
  <c r="D23" i="65"/>
  <c r="D24" i="65"/>
  <c r="D25" i="65"/>
  <c r="D26" i="65"/>
  <c r="D27" i="65"/>
  <c r="D28" i="65"/>
  <c r="D29" i="65"/>
  <c r="D30" i="65"/>
  <c r="D31" i="65"/>
  <c r="D32" i="65"/>
  <c r="D33" i="65"/>
  <c r="D8" i="65"/>
  <c r="D12" i="65"/>
  <c r="D11" i="65"/>
  <c r="D10" i="65"/>
  <c r="D9" i="65"/>
  <c r="D7" i="65"/>
  <c r="D6" i="65"/>
  <c r="N38" i="65"/>
  <c r="N39" i="65"/>
  <c r="N40" i="65"/>
  <c r="N41" i="65"/>
  <c r="N42" i="65"/>
  <c r="N43" i="65"/>
  <c r="N44" i="65"/>
  <c r="N45" i="65"/>
  <c r="N46" i="65"/>
  <c r="N47" i="65"/>
  <c r="N48" i="65"/>
  <c r="N49" i="65"/>
  <c r="N50" i="65"/>
  <c r="N51" i="65"/>
  <c r="N52" i="65"/>
  <c r="N53" i="65"/>
  <c r="N54" i="65"/>
  <c r="N55" i="65"/>
  <c r="N15" i="65"/>
  <c r="N16" i="65"/>
  <c r="N17" i="65"/>
  <c r="N8" i="65"/>
  <c r="N12" i="65"/>
  <c r="N11" i="65"/>
  <c r="N10" i="65"/>
  <c r="N9" i="65"/>
  <c r="N7" i="65"/>
  <c r="N6" i="65"/>
  <c r="Q35" i="59"/>
  <c r="Q34" i="59"/>
  <c r="Q33" i="59"/>
  <c r="Q32" i="59"/>
  <c r="Q31" i="59"/>
  <c r="Q30" i="59"/>
  <c r="Q28" i="59"/>
  <c r="L36" i="59"/>
  <c r="K36" i="59"/>
  <c r="G36" i="59"/>
  <c r="O36" i="59"/>
  <c r="AA110" i="30"/>
  <c r="AA112" i="30" s="1"/>
  <c r="AA111" i="30"/>
  <c r="Z110" i="30"/>
  <c r="Z112" i="30" s="1"/>
  <c r="Z111" i="30"/>
  <c r="Y110" i="30"/>
  <c r="Y112" i="30" s="1"/>
  <c r="Y111" i="30"/>
  <c r="X110" i="30"/>
  <c r="X111" i="30"/>
  <c r="X112" i="30" s="1"/>
  <c r="AA109" i="30"/>
  <c r="Z109" i="30"/>
  <c r="Y109" i="30"/>
  <c r="X109" i="30"/>
  <c r="AA105" i="30"/>
  <c r="AA106" i="30"/>
  <c r="Z107" i="30"/>
  <c r="Y105" i="30"/>
  <c r="Y107" i="30" s="1"/>
  <c r="Y106" i="30"/>
  <c r="X105" i="30"/>
  <c r="X106" i="30"/>
  <c r="AA104" i="30"/>
  <c r="Y104" i="30"/>
  <c r="X104" i="30"/>
  <c r="B59" i="60"/>
  <c r="L54" i="47"/>
  <c r="L57" i="47" s="1"/>
  <c r="Z53" i="47"/>
  <c r="Z54" i="47" s="1"/>
  <c r="Z31" i="47"/>
  <c r="AB31" i="47"/>
  <c r="AA53" i="47"/>
  <c r="AA31" i="47"/>
  <c r="AA54" i="47"/>
  <c r="Y53" i="47"/>
  <c r="Y31" i="47"/>
  <c r="AQ31" i="47"/>
  <c r="AQ53" i="47"/>
  <c r="AQ54" i="47" s="1"/>
  <c r="D11" i="27"/>
  <c r="T106" i="50"/>
  <c r="V106" i="50"/>
  <c r="T35" i="48"/>
  <c r="S161" i="3"/>
  <c r="Q41" i="8"/>
  <c r="K31" i="49"/>
  <c r="F104" i="48"/>
  <c r="F105" i="48"/>
  <c r="F106" i="48"/>
  <c r="F108" i="48"/>
  <c r="F109" i="48"/>
  <c r="AD35" i="48"/>
  <c r="AD36" i="48"/>
  <c r="V35" i="53"/>
  <c r="V83" i="53"/>
  <c r="H35" i="23"/>
  <c r="H58" i="23"/>
  <c r="E36" i="59"/>
  <c r="D36" i="59"/>
  <c r="C36" i="59"/>
  <c r="B36" i="59"/>
  <c r="B34" i="51"/>
  <c r="K11" i="3"/>
  <c r="N28" i="45"/>
  <c r="B62" i="62"/>
  <c r="D62" i="62"/>
  <c r="AM17" i="47"/>
  <c r="AM19" i="47"/>
  <c r="AM21" i="47"/>
  <c r="AM30" i="47"/>
  <c r="AM53" i="47"/>
  <c r="L28" i="45"/>
  <c r="K54" i="47"/>
  <c r="K57" i="47"/>
  <c r="J54" i="47"/>
  <c r="J57" i="47"/>
  <c r="I54" i="47"/>
  <c r="I57" i="47"/>
  <c r="H54" i="47"/>
  <c r="H57" i="47"/>
  <c r="G54" i="47"/>
  <c r="G57" i="47"/>
  <c r="U83" i="53"/>
  <c r="U60" i="53"/>
  <c r="U35" i="53"/>
  <c r="S106" i="50"/>
  <c r="R106" i="50"/>
  <c r="AY60" i="48"/>
  <c r="AX60" i="48"/>
  <c r="AW60" i="48"/>
  <c r="AV60" i="48"/>
  <c r="K11" i="38"/>
  <c r="I49" i="8"/>
  <c r="AB42" i="48"/>
  <c r="AB60" i="48" s="1"/>
  <c r="R60" i="48"/>
  <c r="S60" i="48"/>
  <c r="R35" i="50"/>
  <c r="S35" i="50"/>
  <c r="R60" i="50"/>
  <c r="S60" i="50"/>
  <c r="R83" i="50"/>
  <c r="S83" i="50"/>
  <c r="R35" i="48"/>
  <c r="S35" i="48"/>
  <c r="I14" i="36"/>
  <c r="F14" i="36"/>
  <c r="F13" i="36"/>
  <c r="F12" i="36"/>
  <c r="F11" i="36"/>
  <c r="F21" i="36"/>
  <c r="F20" i="36"/>
  <c r="F19" i="36"/>
  <c r="F17" i="36"/>
  <c r="R83" i="53"/>
  <c r="S83" i="53"/>
  <c r="T83" i="53"/>
  <c r="R35" i="53"/>
  <c r="S35" i="53"/>
  <c r="T35" i="53"/>
  <c r="R60" i="53"/>
  <c r="S60" i="53"/>
  <c r="T60" i="53"/>
  <c r="B37" i="34"/>
  <c r="B38" i="34" s="1"/>
  <c r="B33" i="34"/>
  <c r="B34" i="34" s="1"/>
  <c r="AU60" i="48"/>
  <c r="F77" i="54"/>
  <c r="F76" i="54"/>
  <c r="F75" i="54"/>
  <c r="F74" i="54"/>
  <c r="F73" i="54"/>
  <c r="AD23" i="57"/>
  <c r="R41" i="58"/>
  <c r="R38" i="58"/>
  <c r="R35" i="58"/>
  <c r="R32" i="58"/>
  <c r="R29" i="58"/>
  <c r="R26" i="58"/>
  <c r="R23" i="58"/>
  <c r="R20" i="58"/>
  <c r="R11" i="58"/>
  <c r="R14" i="58"/>
  <c r="R43" i="58" s="1"/>
  <c r="R17" i="58"/>
  <c r="O11" i="58"/>
  <c r="O14" i="58"/>
  <c r="O17" i="58"/>
  <c r="P17" i="58"/>
  <c r="O20" i="58"/>
  <c r="P20" i="58"/>
  <c r="O23" i="58"/>
  <c r="P23" i="58"/>
  <c r="O26" i="58"/>
  <c r="P26" i="58"/>
  <c r="O29" i="58"/>
  <c r="P29" i="58"/>
  <c r="O32" i="58"/>
  <c r="P32" i="58"/>
  <c r="O35" i="58"/>
  <c r="P35" i="58"/>
  <c r="O38" i="58"/>
  <c r="P38" i="58"/>
  <c r="O41" i="58"/>
  <c r="P41" i="58"/>
  <c r="D7" i="3"/>
  <c r="D4" i="3"/>
  <c r="AN31" i="47"/>
  <c r="A6" i="54"/>
  <c r="A5" i="54"/>
  <c r="A4" i="54"/>
  <c r="A3" i="54"/>
  <c r="E4" i="53"/>
  <c r="B4" i="29"/>
  <c r="B47" i="44"/>
  <c r="B25" i="44"/>
  <c r="K43" i="8"/>
  <c r="K36" i="8"/>
  <c r="K37" i="8" s="1"/>
  <c r="K49" i="8"/>
  <c r="J49" i="8"/>
  <c r="J23" i="8"/>
  <c r="J37" i="8" s="1"/>
  <c r="G67" i="38"/>
  <c r="B3" i="29"/>
  <c r="C42" i="36"/>
  <c r="E36" i="57"/>
  <c r="C9" i="57"/>
  <c r="E2" i="57"/>
  <c r="C6" i="67"/>
  <c r="AR31" i="47"/>
  <c r="AR53" i="47"/>
  <c r="AR54" i="47" s="1"/>
  <c r="AP53" i="47"/>
  <c r="AP54" i="47" s="1"/>
  <c r="AP31" i="47"/>
  <c r="K28" i="45"/>
  <c r="K51" i="45"/>
  <c r="P16" i="19"/>
  <c r="P17" i="19"/>
  <c r="P18" i="19"/>
  <c r="P19" i="19"/>
  <c r="P20" i="19"/>
  <c r="P21" i="19"/>
  <c r="P24" i="19"/>
  <c r="P26" i="19"/>
  <c r="P27" i="19"/>
  <c r="P28" i="19"/>
  <c r="P30" i="19"/>
  <c r="P34" i="19"/>
  <c r="L61" i="62"/>
  <c r="L62" i="62" s="1"/>
  <c r="U13" i="62"/>
  <c r="I55" i="19"/>
  <c r="I39" i="19"/>
  <c r="I41" i="19"/>
  <c r="I43" i="19"/>
  <c r="I47" i="19"/>
  <c r="I48" i="19"/>
  <c r="I51" i="19"/>
  <c r="I53" i="19"/>
  <c r="I54" i="19"/>
  <c r="I56" i="19"/>
  <c r="I35" i="19"/>
  <c r="H36" i="59"/>
  <c r="U17" i="62"/>
  <c r="X17" i="62" s="1"/>
  <c r="W17" i="62" s="1"/>
  <c r="W42" i="62" s="1"/>
  <c r="T17" i="62"/>
  <c r="T42" i="62" s="1"/>
  <c r="I25" i="46"/>
  <c r="I26" i="46"/>
  <c r="N61" i="62"/>
  <c r="N62" i="62" s="1"/>
  <c r="B34" i="27"/>
  <c r="H55" i="19"/>
  <c r="U32" i="62"/>
  <c r="Z113" i="3"/>
  <c r="Z117" i="3"/>
  <c r="Z121" i="3"/>
  <c r="J49" i="19"/>
  <c r="J41" i="19"/>
  <c r="P70" i="54"/>
  <c r="Y60" i="50"/>
  <c r="N27" i="69"/>
  <c r="B25" i="27"/>
  <c r="B26" i="27"/>
  <c r="B31" i="27"/>
  <c r="P95" i="54"/>
  <c r="O95" i="54"/>
  <c r="B58" i="19"/>
  <c r="U16" i="62"/>
  <c r="U20" i="62"/>
  <c r="L41" i="54"/>
  <c r="D26" i="46"/>
  <c r="R59" i="71"/>
  <c r="U26" i="71"/>
  <c r="P53" i="19"/>
  <c r="G42" i="19"/>
  <c r="U21" i="71"/>
  <c r="P52" i="19"/>
  <c r="P56" i="19"/>
  <c r="J47" i="19"/>
  <c r="J43" i="19"/>
  <c r="G56" i="19"/>
  <c r="G52" i="19"/>
  <c r="W11" i="71"/>
  <c r="P49" i="19"/>
  <c r="P39" i="19"/>
  <c r="P58" i="19" s="1"/>
  <c r="P41" i="19"/>
  <c r="P42" i="19"/>
  <c r="P43" i="19"/>
  <c r="P50" i="19"/>
  <c r="P51" i="19"/>
  <c r="P54" i="19"/>
  <c r="P55" i="19"/>
  <c r="P57" i="19"/>
  <c r="G46" i="19"/>
  <c r="J57" i="19"/>
  <c r="J51" i="19"/>
  <c r="H49" i="19"/>
  <c r="H44" i="19"/>
  <c r="H39" i="19"/>
  <c r="G44" i="19"/>
  <c r="G39" i="19"/>
  <c r="U34" i="71"/>
  <c r="U17" i="71"/>
  <c r="U18" i="71"/>
  <c r="U19" i="71"/>
  <c r="U20" i="71"/>
  <c r="U24" i="71"/>
  <c r="U28" i="71"/>
  <c r="M28" i="45"/>
  <c r="M51" i="45" s="1"/>
  <c r="AR42" i="54"/>
  <c r="T161" i="3"/>
  <c r="N54" i="47"/>
  <c r="N57" i="47" s="1"/>
  <c r="E28" i="45"/>
  <c r="U161" i="3"/>
  <c r="S163" i="3"/>
  <c r="S158" i="3"/>
  <c r="U163" i="3"/>
  <c r="U158" i="3"/>
  <c r="T163" i="3"/>
  <c r="O28" i="45"/>
  <c r="O51" i="45" s="1"/>
  <c r="Z111" i="3"/>
  <c r="W83" i="53"/>
  <c r="Z118" i="3"/>
  <c r="O70" i="54"/>
  <c r="E27" i="70"/>
  <c r="AB7" i="73"/>
  <c r="E18" i="70"/>
  <c r="AC18" i="70" s="1"/>
  <c r="X35" i="53"/>
  <c r="C24" i="33"/>
  <c r="AG60" i="48"/>
  <c r="AB103" i="8"/>
  <c r="T32" i="51"/>
  <c r="G14" i="51"/>
  <c r="X60" i="53"/>
  <c r="W64" i="3"/>
  <c r="W65" i="3"/>
  <c r="W67" i="3"/>
  <c r="W73" i="3"/>
  <c r="J153" i="73"/>
  <c r="K154" i="73"/>
  <c r="K153" i="73"/>
  <c r="K155" i="73" s="1"/>
  <c r="K7" i="73"/>
  <c r="J7" i="73"/>
  <c r="Z68" i="3"/>
  <c r="Z67" i="3"/>
  <c r="Z79" i="3"/>
  <c r="Z74" i="3"/>
  <c r="Z66" i="3"/>
  <c r="Z73" i="3"/>
  <c r="Z65" i="3"/>
  <c r="Z72" i="3"/>
  <c r="Z64" i="3"/>
  <c r="Z69" i="3"/>
  <c r="Z71" i="3"/>
  <c r="Z70" i="3"/>
  <c r="E22" i="46"/>
  <c r="C21" i="33"/>
  <c r="C26" i="33"/>
  <c r="L9" i="22"/>
  <c r="H42" i="19"/>
  <c r="G49" i="19"/>
  <c r="D70" i="3"/>
  <c r="D47" i="3" s="1"/>
  <c r="K42" i="53"/>
  <c r="K17" i="53"/>
  <c r="G17" i="53" s="1"/>
  <c r="K65" i="53"/>
  <c r="L42" i="53"/>
  <c r="L17" i="53"/>
  <c r="H17" i="53" s="1"/>
  <c r="L65" i="53"/>
  <c r="AW37" i="47"/>
  <c r="AW46" i="47"/>
  <c r="AH39" i="47"/>
  <c r="J35" i="19"/>
  <c r="J55" i="19"/>
  <c r="J45" i="19"/>
  <c r="G41" i="19"/>
  <c r="P54" i="47"/>
  <c r="Q18" i="47"/>
  <c r="C25" i="54"/>
  <c r="L30" i="50" s="1"/>
  <c r="W111" i="3"/>
  <c r="D68" i="3"/>
  <c r="D45" i="3"/>
  <c r="L27" i="75"/>
  <c r="Q24" i="51"/>
  <c r="Q27" i="51"/>
  <c r="O27" i="51"/>
  <c r="O33" i="51" s="1"/>
  <c r="AU14" i="47"/>
  <c r="AW14" i="47"/>
  <c r="AW12" i="47"/>
  <c r="AW21" i="47"/>
  <c r="R54" i="47"/>
  <c r="V111" i="3"/>
  <c r="AU46" i="47"/>
  <c r="AF55" i="8"/>
  <c r="H20" i="56"/>
  <c r="H32" i="56"/>
  <c r="G34" i="56"/>
  <c r="G30" i="56"/>
  <c r="G31" i="56"/>
  <c r="G24" i="56"/>
  <c r="D89" i="3"/>
  <c r="AE44" i="8"/>
  <c r="AE51" i="8"/>
  <c r="AE53" i="8"/>
  <c r="AE30" i="8"/>
  <c r="AE55" i="8" s="1"/>
  <c r="AG53" i="8"/>
  <c r="AG55" i="8"/>
  <c r="U19" i="70"/>
  <c r="F9" i="70" s="1"/>
  <c r="B12" i="45" s="1"/>
  <c r="T11" i="8"/>
  <c r="U11" i="8" s="1"/>
  <c r="T15" i="8"/>
  <c r="U15" i="8"/>
  <c r="G57" i="8"/>
  <c r="W96" i="73"/>
  <c r="W52" i="73"/>
  <c r="W7" i="73" s="1"/>
  <c r="D24" i="33"/>
  <c r="Q16" i="47"/>
  <c r="Q22" i="47"/>
  <c r="AC60" i="48"/>
  <c r="Y66" i="3"/>
  <c r="Y71" i="3"/>
  <c r="Y72" i="3"/>
  <c r="E104" i="73"/>
  <c r="Y111" i="3"/>
  <c r="Q75" i="73"/>
  <c r="E75" i="73" s="1"/>
  <c r="D30" i="73"/>
  <c r="Q145" i="73"/>
  <c r="E145" i="73"/>
  <c r="AA107" i="30"/>
  <c r="D64" i="3"/>
  <c r="D41" i="3" s="1"/>
  <c r="D66" i="3"/>
  <c r="D43" i="3"/>
  <c r="I74" i="3"/>
  <c r="I51" i="3" s="1"/>
  <c r="D74" i="3"/>
  <c r="D51" i="3"/>
  <c r="P31" i="75"/>
  <c r="D31" i="75" s="1"/>
  <c r="G25" i="56"/>
  <c r="G33" i="56"/>
  <c r="G22" i="56"/>
  <c r="G21" i="56"/>
  <c r="G26" i="56"/>
  <c r="AH40" i="47"/>
  <c r="AH31" i="47"/>
  <c r="H33" i="56"/>
  <c r="H22" i="56"/>
  <c r="H19" i="56"/>
  <c r="H17" i="56"/>
  <c r="AF31" i="47"/>
  <c r="AF54" i="47" s="1"/>
  <c r="X6" i="8"/>
  <c r="S59" i="21"/>
  <c r="H34" i="56"/>
  <c r="I37" i="8"/>
  <c r="B30" i="27"/>
  <c r="AH60" i="48"/>
  <c r="Y70" i="3"/>
  <c r="X67" i="3"/>
  <c r="Y69" i="3"/>
  <c r="C30" i="73"/>
  <c r="X116" i="3"/>
  <c r="V75" i="3"/>
  <c r="L7" i="38"/>
  <c r="L6" i="38"/>
  <c r="L10" i="38"/>
  <c r="L4" i="38"/>
  <c r="L8" i="38"/>
  <c r="L5" i="38"/>
  <c r="L9" i="38"/>
  <c r="G10" i="22"/>
  <c r="AU18" i="47"/>
  <c r="Q20" i="47"/>
  <c r="M59" i="22"/>
  <c r="W9" i="71"/>
  <c r="H51" i="19"/>
  <c r="W6" i="71"/>
  <c r="V92" i="3"/>
  <c r="L10" i="22"/>
  <c r="L12" i="22"/>
  <c r="H53" i="19"/>
  <c r="B35" i="19"/>
  <c r="J154" i="73"/>
  <c r="J155" i="73"/>
  <c r="X60" i="50"/>
  <c r="O59" i="21"/>
  <c r="B42" i="63"/>
  <c r="E34" i="63"/>
  <c r="F68" i="54"/>
  <c r="AJ13" i="73"/>
  <c r="AJ30" i="73"/>
  <c r="Q52" i="73"/>
  <c r="Z75" i="3"/>
  <c r="C64" i="3"/>
  <c r="C41" i="3" s="1"/>
  <c r="G70" i="3"/>
  <c r="G47" i="3"/>
  <c r="V65" i="3"/>
  <c r="E76" i="73"/>
  <c r="Y64" i="3"/>
  <c r="V35" i="48"/>
  <c r="C75" i="73"/>
  <c r="X65" i="3"/>
  <c r="AC26" i="50"/>
  <c r="AC19" i="50"/>
  <c r="AC18" i="50"/>
  <c r="AC27" i="50"/>
  <c r="H70" i="3"/>
  <c r="H47" i="3" s="1"/>
  <c r="C70" i="3"/>
  <c r="C47" i="3"/>
  <c r="C77" i="3"/>
  <c r="C54" i="3" s="1"/>
  <c r="C81" i="3"/>
  <c r="C58" i="3"/>
  <c r="C74" i="3"/>
  <c r="C51" i="3" s="1"/>
  <c r="H74" i="3"/>
  <c r="H51" i="3"/>
  <c r="B74" i="3"/>
  <c r="B51" i="3" s="1"/>
  <c r="G74" i="3"/>
  <c r="G51" i="3"/>
  <c r="W165" i="3"/>
  <c r="D96" i="73"/>
  <c r="D52" i="73"/>
  <c r="D75" i="73"/>
  <c r="V42" i="3"/>
  <c r="G65" i="3" s="1"/>
  <c r="G42" i="3" s="1"/>
  <c r="I67" i="3"/>
  <c r="I44" i="3" s="1"/>
  <c r="E146" i="73"/>
  <c r="X37" i="3"/>
  <c r="Y75" i="3"/>
  <c r="Y65" i="3"/>
  <c r="Y67" i="3"/>
  <c r="Y68" i="3"/>
  <c r="Y73" i="3"/>
  <c r="E31" i="73"/>
  <c r="C52" i="73"/>
  <c r="B122" i="73"/>
  <c r="E30" i="73"/>
  <c r="X73" i="3"/>
  <c r="X167" i="3"/>
  <c r="Y152" i="3"/>
  <c r="H64" i="3"/>
  <c r="G80" i="3"/>
  <c r="G57" i="3" s="1"/>
  <c r="I73" i="3"/>
  <c r="I50" i="3" s="1"/>
  <c r="C72" i="3"/>
  <c r="C49" i="3" s="1"/>
  <c r="W166" i="3"/>
  <c r="H72" i="3"/>
  <c r="H49" i="3"/>
  <c r="C68" i="3"/>
  <c r="C45" i="3"/>
  <c r="H68" i="3"/>
  <c r="H45" i="3"/>
  <c r="W162" i="3"/>
  <c r="H77" i="3"/>
  <c r="H54" i="3"/>
  <c r="R24" i="51"/>
  <c r="S24" i="51" s="1"/>
  <c r="U24" i="51" s="1"/>
  <c r="Q48" i="47"/>
  <c r="Q14" i="47"/>
  <c r="S20" i="47"/>
  <c r="T96" i="73"/>
  <c r="B83" i="73"/>
  <c r="X35" i="48"/>
  <c r="C26" i="75"/>
  <c r="C33" i="75"/>
  <c r="Q105" i="73"/>
  <c r="H53" i="69"/>
  <c r="C57" i="69"/>
  <c r="S16" i="47"/>
  <c r="S30" i="47"/>
  <c r="S44" i="47"/>
  <c r="U58" i="71"/>
  <c r="Y44" i="55"/>
  <c r="W106" i="50"/>
  <c r="T59" i="21"/>
  <c r="R61" i="62"/>
  <c r="R62" i="62"/>
  <c r="H154" i="73"/>
  <c r="H148" i="73"/>
  <c r="H151" i="73" s="1"/>
  <c r="I153" i="73"/>
  <c r="I148" i="73"/>
  <c r="J151" i="73" s="1"/>
  <c r="J148" i="73"/>
  <c r="AD60" i="48"/>
  <c r="G7" i="51"/>
  <c r="U26" i="62"/>
  <c r="X26" i="62"/>
  <c r="W26" i="62"/>
  <c r="W51" i="62" s="1"/>
  <c r="T26" i="62"/>
  <c r="T51" i="62"/>
  <c r="E59" i="21"/>
  <c r="L6" i="22"/>
  <c r="F15" i="51"/>
  <c r="AC34" i="65"/>
  <c r="R59" i="21"/>
  <c r="R60" i="21" s="1"/>
  <c r="L59" i="21"/>
  <c r="G35" i="19"/>
  <c r="W8" i="71"/>
  <c r="U19" i="48"/>
  <c r="V66" i="3"/>
  <c r="U24" i="48"/>
  <c r="V71" i="3"/>
  <c r="K148" i="73"/>
  <c r="K151" i="73"/>
  <c r="AA12" i="51"/>
  <c r="W60" i="50"/>
  <c r="U16" i="70"/>
  <c r="AB53" i="8"/>
  <c r="AB55" i="8"/>
  <c r="AH53" i="8"/>
  <c r="AH55" i="8" s="1"/>
  <c r="U28" i="70"/>
  <c r="F25" i="70"/>
  <c r="C11" i="45"/>
  <c r="O53" i="3"/>
  <c r="I58" i="71"/>
  <c r="I59" i="71"/>
  <c r="Y37" i="55"/>
  <c r="X163" i="3"/>
  <c r="C36" i="63"/>
  <c r="C3" i="63"/>
  <c r="W122" i="3"/>
  <c r="G71" i="3"/>
  <c r="G48" i="3" s="1"/>
  <c r="B48" i="3"/>
  <c r="X114" i="3"/>
  <c r="X161" i="3" s="1"/>
  <c r="S6" i="8"/>
  <c r="S23" i="8"/>
  <c r="S24" i="8"/>
  <c r="G77" i="3"/>
  <c r="G54" i="3" s="1"/>
  <c r="B77" i="3"/>
  <c r="B54" i="3"/>
  <c r="B30" i="73"/>
  <c r="U27" i="48"/>
  <c r="V74" i="3"/>
  <c r="B75" i="73"/>
  <c r="BH40" i="54"/>
  <c r="BH54" i="54"/>
  <c r="I58" i="62"/>
  <c r="K58" i="62"/>
  <c r="K61" i="62"/>
  <c r="K62" i="62" s="1"/>
  <c r="Q61" i="62"/>
  <c r="P14" i="58"/>
  <c r="G15" i="51"/>
  <c r="BH41" i="54"/>
  <c r="J33" i="62"/>
  <c r="L33" i="62"/>
  <c r="V49" i="3"/>
  <c r="B72" i="3" s="1"/>
  <c r="B49" i="3" s="1"/>
  <c r="D30" i="75"/>
  <c r="P29" i="75"/>
  <c r="D29" i="75" s="1"/>
  <c r="B66" i="3"/>
  <c r="B43" i="3" s="1"/>
  <c r="G66" i="3"/>
  <c r="G43" i="3"/>
  <c r="H66" i="3"/>
  <c r="H43" i="3" s="1"/>
  <c r="C66" i="3"/>
  <c r="C43" i="3"/>
  <c r="V160" i="3"/>
  <c r="G68" i="3"/>
  <c r="G45" i="3" s="1"/>
  <c r="V96" i="3"/>
  <c r="C80" i="3"/>
  <c r="C57" i="3" s="1"/>
  <c r="H80" i="3"/>
  <c r="H57" i="3"/>
  <c r="S10" i="51"/>
  <c r="U10" i="51" s="1"/>
  <c r="U27" i="51" s="1"/>
  <c r="AU30" i="47"/>
  <c r="AW30" i="47"/>
  <c r="U60" i="48"/>
  <c r="D19" i="27" s="1"/>
  <c r="E19" i="27" s="1"/>
  <c r="E20" i="27" s="1"/>
  <c r="D20" i="27"/>
  <c r="V15" i="8"/>
  <c r="W15" i="8"/>
  <c r="X13" i="62"/>
  <c r="W13" i="62" s="1"/>
  <c r="W38" i="62" s="1"/>
  <c r="T13" i="62"/>
  <c r="T38" i="62"/>
  <c r="B37" i="51"/>
  <c r="B36" i="51"/>
  <c r="AR54" i="54"/>
  <c r="E58" i="19"/>
  <c r="G75" i="3"/>
  <c r="G52" i="3" s="1"/>
  <c r="B75" i="3"/>
  <c r="B52" i="3"/>
  <c r="M36" i="59"/>
  <c r="S29" i="47"/>
  <c r="S21" i="47"/>
  <c r="S18" i="47"/>
  <c r="S12" i="47"/>
  <c r="S13" i="47"/>
  <c r="S14" i="47"/>
  <c r="S15" i="47"/>
  <c r="S17" i="47"/>
  <c r="S19" i="47"/>
  <c r="S22" i="47"/>
  <c r="S27" i="47"/>
  <c r="S35" i="47"/>
  <c r="S39" i="47"/>
  <c r="S40" i="47"/>
  <c r="S41" i="47"/>
  <c r="S42" i="47"/>
  <c r="S46" i="47"/>
  <c r="S48" i="47"/>
  <c r="S49" i="47"/>
  <c r="S50" i="47"/>
  <c r="D32" i="51"/>
  <c r="X34" i="65"/>
  <c r="F16" i="51"/>
  <c r="O40" i="54"/>
  <c r="BV40" i="54"/>
  <c r="CK40" i="54"/>
  <c r="AR52" i="54"/>
  <c r="X19" i="62"/>
  <c r="W19" i="62"/>
  <c r="W44" i="62"/>
  <c r="L8" i="22"/>
  <c r="X64" i="3"/>
  <c r="X158" i="3"/>
  <c r="B59" i="21"/>
  <c r="U17" i="48"/>
  <c r="V64" i="3"/>
  <c r="Q49" i="47"/>
  <c r="AW20" i="47"/>
  <c r="AU20" i="47"/>
  <c r="U25" i="70"/>
  <c r="F24" i="70"/>
  <c r="E24" i="70"/>
  <c r="AC24" i="70" s="1"/>
  <c r="Y42" i="55"/>
  <c r="Q39" i="47"/>
  <c r="Q17" i="47"/>
  <c r="Q19" i="47"/>
  <c r="Q40" i="47"/>
  <c r="U6" i="70"/>
  <c r="F7" i="70" s="1"/>
  <c r="B10" i="45" s="1"/>
  <c r="E7" i="70"/>
  <c r="E20" i="70"/>
  <c r="F65" i="54"/>
  <c r="I16" i="63"/>
  <c r="I36" i="63"/>
  <c r="W35" i="48"/>
  <c r="W12" i="71"/>
  <c r="E37" i="70"/>
  <c r="I24" i="63"/>
  <c r="E52" i="73"/>
  <c r="W160" i="3"/>
  <c r="V37" i="3"/>
  <c r="G72" i="3"/>
  <c r="G49" i="3"/>
  <c r="I78" i="3"/>
  <c r="I55" i="3" s="1"/>
  <c r="D78" i="3"/>
  <c r="D55" i="3"/>
  <c r="S11" i="51"/>
  <c r="V129" i="3"/>
  <c r="D36" i="63"/>
  <c r="I7" i="63"/>
  <c r="AG17" i="47"/>
  <c r="AG16" i="47"/>
  <c r="I72" i="3"/>
  <c r="I49" i="3" s="1"/>
  <c r="D72" i="3"/>
  <c r="D49" i="3"/>
  <c r="I69" i="3"/>
  <c r="I46" i="3" s="1"/>
  <c r="D69" i="3"/>
  <c r="D46" i="3"/>
  <c r="AU48" i="47"/>
  <c r="X28" i="62"/>
  <c r="W28" i="62" s="1"/>
  <c r="W53" i="62" s="1"/>
  <c r="T53" i="62"/>
  <c r="AW48" i="47"/>
  <c r="U23" i="48"/>
  <c r="V70" i="3"/>
  <c r="V164" i="3"/>
  <c r="X82" i="3"/>
  <c r="M58" i="62"/>
  <c r="U18" i="62"/>
  <c r="G16" i="63"/>
  <c r="G36" i="63" s="1"/>
  <c r="J62" i="62"/>
  <c r="D20" i="70"/>
  <c r="AC31" i="49"/>
  <c r="E19" i="46"/>
  <c r="X169" i="3"/>
  <c r="U23" i="62"/>
  <c r="X23" i="62" s="1"/>
  <c r="W23" i="62" s="1"/>
  <c r="W48" i="62" s="1"/>
  <c r="U27" i="62"/>
  <c r="T27" i="62" s="1"/>
  <c r="T52" i="62" s="1"/>
  <c r="C37" i="70"/>
  <c r="D37" i="70"/>
  <c r="E35" i="62"/>
  <c r="U43" i="70"/>
  <c r="F33" i="70"/>
  <c r="C19" i="45"/>
  <c r="H42" i="63"/>
  <c r="R52" i="8"/>
  <c r="K23" i="48"/>
  <c r="L23" i="48"/>
  <c r="T23" i="62"/>
  <c r="T48" i="62" s="1"/>
  <c r="U145" i="73"/>
  <c r="U7" i="73"/>
  <c r="K18" i="53"/>
  <c r="L18" i="53"/>
  <c r="D3" i="63"/>
  <c r="T59" i="20"/>
  <c r="C23" i="46"/>
  <c r="E23" i="46" s="1"/>
  <c r="P97" i="54"/>
  <c r="O97" i="54"/>
  <c r="BV42" i="54"/>
  <c r="CK42" i="54"/>
  <c r="BV52" i="54"/>
  <c r="W7" i="71"/>
  <c r="N58" i="71"/>
  <c r="H35" i="19"/>
  <c r="AF60" i="48"/>
  <c r="K48" i="48"/>
  <c r="L48" i="48"/>
  <c r="W60" i="48"/>
  <c r="D81" i="3"/>
  <c r="D58" i="3" s="1"/>
  <c r="I81" i="3"/>
  <c r="I58" i="3"/>
  <c r="H79" i="3"/>
  <c r="H56" i="3" s="1"/>
  <c r="X103" i="3"/>
  <c r="C78" i="3"/>
  <c r="C55" i="3" s="1"/>
  <c r="H78" i="3"/>
  <c r="H55" i="3"/>
  <c r="W169" i="3"/>
  <c r="C73" i="3"/>
  <c r="C50" i="3" s="1"/>
  <c r="H73" i="3"/>
  <c r="H50" i="3"/>
  <c r="Y162" i="3"/>
  <c r="W161" i="3"/>
  <c r="C67" i="3"/>
  <c r="C44" i="3"/>
  <c r="H67" i="3"/>
  <c r="H44" i="3" s="1"/>
  <c r="Q96" i="73"/>
  <c r="E96" i="73"/>
  <c r="C96" i="73"/>
  <c r="B81" i="3"/>
  <c r="B58" i="3"/>
  <c r="Y37" i="3"/>
  <c r="Y59" i="3"/>
  <c r="E53" i="73"/>
  <c r="W59" i="3"/>
  <c r="B78" i="3"/>
  <c r="B55" i="3" s="1"/>
  <c r="G78" i="3"/>
  <c r="G55" i="3"/>
  <c r="W37" i="3"/>
  <c r="C34" i="51"/>
  <c r="BV41" i="54"/>
  <c r="CK41" i="54"/>
  <c r="C145" i="73"/>
  <c r="P34" i="75"/>
  <c r="K70" i="50"/>
  <c r="L70" i="50"/>
  <c r="AD53" i="47"/>
  <c r="AD54" i="47" s="1"/>
  <c r="B41" i="3"/>
  <c r="N56" i="65"/>
  <c r="D34" i="65"/>
  <c r="D56" i="65"/>
  <c r="S56" i="65"/>
  <c r="I34" i="65"/>
  <c r="I56" i="65"/>
  <c r="I57" i="65" s="1"/>
  <c r="X56" i="65"/>
  <c r="X57" i="65"/>
  <c r="H21" i="68"/>
  <c r="C8" i="67" s="1"/>
  <c r="J21" i="68"/>
  <c r="C10" i="67"/>
  <c r="D71" i="3"/>
  <c r="D48" i="3" s="1"/>
  <c r="I71" i="3"/>
  <c r="I48" i="3"/>
  <c r="V165" i="3"/>
  <c r="D80" i="3"/>
  <c r="D57" i="3" s="1"/>
  <c r="I80" i="3"/>
  <c r="I57" i="3"/>
  <c r="G64" i="3"/>
  <c r="V158" i="3"/>
  <c r="D100" i="3"/>
  <c r="D101" i="3"/>
  <c r="V168" i="3"/>
  <c r="N31" i="49"/>
  <c r="F27" i="49"/>
  <c r="F14" i="49"/>
  <c r="U106" i="50"/>
  <c r="D10" i="27" s="1"/>
  <c r="U8" i="51"/>
  <c r="S12" i="51"/>
  <c r="G12" i="49"/>
  <c r="G28" i="49"/>
  <c r="G23" i="49"/>
  <c r="H7" i="63"/>
  <c r="H36" i="63"/>
  <c r="H24" i="63"/>
  <c r="T31" i="62"/>
  <c r="T56" i="62" s="1"/>
  <c r="X31" i="62"/>
  <c r="W31" i="62"/>
  <c r="W56" i="62"/>
  <c r="U22" i="62"/>
  <c r="T22" i="62" s="1"/>
  <c r="T47" i="62" s="1"/>
  <c r="N33" i="62"/>
  <c r="U11" i="62"/>
  <c r="T11" i="62" s="1"/>
  <c r="T36" i="62" s="1"/>
  <c r="P33" i="62"/>
  <c r="X61" i="62"/>
  <c r="X62" i="62" s="1"/>
  <c r="V90" i="3"/>
  <c r="B96" i="73"/>
  <c r="AG18" i="47"/>
  <c r="AG12" i="47"/>
  <c r="AG30" i="47"/>
  <c r="X32" i="62"/>
  <c r="W32" i="62"/>
  <c r="W57" i="62"/>
  <c r="T32" i="62"/>
  <c r="T57" i="62" s="1"/>
  <c r="M40" i="54"/>
  <c r="T21" i="62"/>
  <c r="T46" i="62" s="1"/>
  <c r="X21" i="62"/>
  <c r="W21" i="62"/>
  <c r="W46" i="62" s="1"/>
  <c r="T29" i="62"/>
  <c r="T54" i="62"/>
  <c r="X29" i="62"/>
  <c r="W29" i="62" s="1"/>
  <c r="W54" i="62" s="1"/>
  <c r="U25" i="62"/>
  <c r="M28" i="51"/>
  <c r="L28" i="51"/>
  <c r="H9" i="20"/>
  <c r="H9" i="22"/>
  <c r="R9" i="19"/>
  <c r="I68" i="3"/>
  <c r="I45" i="3" s="1"/>
  <c r="V162" i="3"/>
  <c r="U12" i="51"/>
  <c r="B65" i="3"/>
  <c r="B42" i="3"/>
  <c r="B67" i="3"/>
  <c r="B44" i="3" s="1"/>
  <c r="G67" i="3"/>
  <c r="G44" i="3"/>
  <c r="V135" i="3"/>
  <c r="I65" i="3" s="1"/>
  <c r="J28" i="63"/>
  <c r="J30" i="63"/>
  <c r="J42" i="63"/>
  <c r="G7" i="63"/>
  <c r="E42" i="63"/>
  <c r="F15" i="49"/>
  <c r="F29" i="49"/>
  <c r="I61" i="62"/>
  <c r="I62" i="62" s="1"/>
  <c r="AM31" i="47"/>
  <c r="AM54" i="47"/>
  <c r="BV53" i="54"/>
  <c r="BG44" i="54"/>
  <c r="C59" i="19"/>
  <c r="C27" i="44"/>
  <c r="C59" i="21"/>
  <c r="B15" i="34" s="1"/>
  <c r="X121" i="3"/>
  <c r="X168" i="3" s="1"/>
  <c r="F13" i="49"/>
  <c r="F26" i="49"/>
  <c r="F17" i="49"/>
  <c r="F23" i="49"/>
  <c r="I151" i="73"/>
  <c r="Y54" i="47"/>
  <c r="S34" i="65"/>
  <c r="AR53" i="54"/>
  <c r="AR41" i="54"/>
  <c r="BH52" i="54"/>
  <c r="O58" i="62"/>
  <c r="O61" i="62"/>
  <c r="Q58" i="62"/>
  <c r="Q62" i="62"/>
  <c r="AC39" i="57"/>
  <c r="X107" i="30"/>
  <c r="N34" i="65"/>
  <c r="G8" i="51"/>
  <c r="N40" i="54"/>
  <c r="N41" i="54"/>
  <c r="O41" i="54"/>
  <c r="U12" i="62"/>
  <c r="X12" i="62" s="1"/>
  <c r="H23" i="56"/>
  <c r="H31" i="56"/>
  <c r="H25" i="56"/>
  <c r="G23" i="56"/>
  <c r="G20" i="56"/>
  <c r="G18" i="56"/>
  <c r="G17" i="56"/>
  <c r="H26" i="56"/>
  <c r="H27" i="56"/>
  <c r="H28" i="56"/>
  <c r="H24" i="56"/>
  <c r="H21" i="56"/>
  <c r="H18" i="56"/>
  <c r="H30" i="56"/>
  <c r="H35" i="56"/>
  <c r="G19" i="56"/>
  <c r="G27" i="56"/>
  <c r="G32" i="56"/>
  <c r="G28" i="56"/>
  <c r="Q46" i="47"/>
  <c r="Q29" i="47"/>
  <c r="Q12" i="47"/>
  <c r="E30" i="46"/>
  <c r="W167" i="3"/>
  <c r="G81" i="3"/>
  <c r="G58" i="3"/>
  <c r="Q21" i="47"/>
  <c r="Q35" i="47"/>
  <c r="Q13" i="47"/>
  <c r="Q30" i="47"/>
  <c r="Q27" i="47"/>
  <c r="Q50" i="47"/>
  <c r="Q15" i="47"/>
  <c r="Q41" i="47"/>
  <c r="R108" i="50"/>
  <c r="I21" i="68"/>
  <c r="C9" i="67" s="1"/>
  <c r="F13" i="51"/>
  <c r="BU44" i="54"/>
  <c r="CK53" i="54"/>
  <c r="AR40" i="54"/>
  <c r="AO54" i="47"/>
  <c r="C59" i="71"/>
  <c r="U61" i="62"/>
  <c r="U62" i="62"/>
  <c r="U30" i="62"/>
  <c r="T30" i="62" s="1"/>
  <c r="T55" i="62" s="1"/>
  <c r="H153" i="73"/>
  <c r="H155" i="73" s="1"/>
  <c r="H7" i="73"/>
  <c r="T52" i="73"/>
  <c r="T140" i="73" s="1"/>
  <c r="B39" i="73"/>
  <c r="U12" i="70"/>
  <c r="F8" i="70"/>
  <c r="B11" i="45"/>
  <c r="B37" i="70"/>
  <c r="X166" i="3"/>
  <c r="AA53" i="8"/>
  <c r="AA55" i="8"/>
  <c r="I42" i="63"/>
  <c r="Y168" i="3"/>
  <c r="L98" i="3"/>
  <c r="K98" i="3"/>
  <c r="D53" i="3"/>
  <c r="M98" i="3"/>
  <c r="X25" i="62"/>
  <c r="W25" i="62" s="1"/>
  <c r="W50" i="62" s="1"/>
  <c r="T25" i="62"/>
  <c r="T50" i="62" s="1"/>
  <c r="T34" i="71"/>
  <c r="O34" i="19"/>
  <c r="Y103" i="3"/>
  <c r="X30" i="62"/>
  <c r="W30" i="62" s="1"/>
  <c r="W55" i="62" s="1"/>
  <c r="Y160" i="3"/>
  <c r="X22" i="62"/>
  <c r="W22" i="62" s="1"/>
  <c r="W47" i="62" s="1"/>
  <c r="F20" i="49"/>
  <c r="F16" i="49"/>
  <c r="F21" i="49"/>
  <c r="F28" i="49"/>
  <c r="F19" i="49"/>
  <c r="F22" i="49"/>
  <c r="G22" i="49"/>
  <c r="F25" i="49"/>
  <c r="G21" i="49"/>
  <c r="G29" i="49"/>
  <c r="F12" i="49"/>
  <c r="F30" i="49" s="1"/>
  <c r="G14" i="49"/>
  <c r="G27" i="49"/>
  <c r="N57" i="65"/>
  <c r="D29" i="51"/>
  <c r="V46" i="3"/>
  <c r="B69" i="3" s="1"/>
  <c r="B52" i="73"/>
  <c r="G96" i="20"/>
  <c r="T23" i="71"/>
  <c r="O23" i="19"/>
  <c r="T12" i="62"/>
  <c r="T37" i="62"/>
  <c r="O62" i="62"/>
  <c r="V159" i="3"/>
  <c r="D65" i="3"/>
  <c r="D42" i="3" s="1"/>
  <c r="G15" i="49"/>
  <c r="G16" i="49"/>
  <c r="G26" i="49"/>
  <c r="F18" i="49"/>
  <c r="S57" i="65"/>
  <c r="X59" i="3"/>
  <c r="G79" i="3"/>
  <c r="G56" i="3" s="1"/>
  <c r="C65" i="3"/>
  <c r="C42" i="3"/>
  <c r="W103" i="3"/>
  <c r="W152" i="3"/>
  <c r="H65" i="3"/>
  <c r="H42" i="3"/>
  <c r="D11" i="45"/>
  <c r="F11" i="45"/>
  <c r="G11" i="45" s="1"/>
  <c r="X11" i="62"/>
  <c r="W11" i="62" s="1"/>
  <c r="G19" i="49"/>
  <c r="G20" i="49"/>
  <c r="G25" i="49"/>
  <c r="G18" i="49"/>
  <c r="G41" i="3"/>
  <c r="D57" i="65"/>
  <c r="J48" i="69"/>
  <c r="O51" i="19"/>
  <c r="K98" i="73"/>
  <c r="X164" i="3"/>
  <c r="I70" i="3"/>
  <c r="I47" i="3" s="1"/>
  <c r="R9" i="20"/>
  <c r="G69" i="3"/>
  <c r="G46" i="3" s="1"/>
  <c r="P24" i="59"/>
  <c r="Q24" i="59"/>
  <c r="J51" i="69"/>
  <c r="O54" i="19"/>
  <c r="O48" i="19"/>
  <c r="J45" i="69"/>
  <c r="V163" i="3"/>
  <c r="AC11" i="57"/>
  <c r="AC20" i="57"/>
  <c r="AC50" i="57"/>
  <c r="AC46" i="57"/>
  <c r="AC10" i="57"/>
  <c r="AC16" i="57"/>
  <c r="AC51" i="57"/>
  <c r="AC47" i="57"/>
  <c r="AC34" i="57"/>
  <c r="AC41" i="57"/>
  <c r="AC22" i="57"/>
  <c r="AC17" i="57"/>
  <c r="AC8" i="57"/>
  <c r="AC48" i="57"/>
  <c r="AC49" i="57"/>
  <c r="AC38" i="57"/>
  <c r="O59" i="23"/>
  <c r="AC37" i="57"/>
  <c r="AC45" i="57"/>
  <c r="AH35" i="57"/>
  <c r="AC32" i="57"/>
  <c r="AH58" i="57"/>
  <c r="AC53" i="57"/>
  <c r="P35" i="19"/>
  <c r="O43" i="58"/>
  <c r="P11" i="58"/>
  <c r="P43" i="58" s="1"/>
  <c r="T14" i="62"/>
  <c r="T39" i="62"/>
  <c r="X14" i="62"/>
  <c r="W14" i="62" s="1"/>
  <c r="W39" i="62" s="1"/>
  <c r="H41" i="3"/>
  <c r="Q122" i="73"/>
  <c r="E122" i="73"/>
  <c r="E7" i="73" s="1"/>
  <c r="D12" i="45"/>
  <c r="F12" i="45"/>
  <c r="G12" i="45"/>
  <c r="AW31" i="47"/>
  <c r="AW53" i="47"/>
  <c r="AW54" i="47"/>
  <c r="AX42" i="47" s="1"/>
  <c r="Q33" i="51"/>
  <c r="X20" i="62"/>
  <c r="W20" i="62"/>
  <c r="W45" i="62"/>
  <c r="T20" i="62"/>
  <c r="T45" i="62" s="1"/>
  <c r="W36" i="62"/>
  <c r="AX48" i="47"/>
  <c r="U11" i="51"/>
  <c r="S27" i="51"/>
  <c r="F20" i="70"/>
  <c r="F37" i="70"/>
  <c r="C10" i="45"/>
  <c r="C28" i="45"/>
  <c r="W12" i="62"/>
  <c r="W37" i="62" s="1"/>
  <c r="G35" i="56"/>
  <c r="J19" i="63"/>
  <c r="J11" i="63"/>
  <c r="J16" i="63" s="1"/>
  <c r="H69" i="3"/>
  <c r="H46" i="3"/>
  <c r="C69" i="3"/>
  <c r="C46" i="3"/>
  <c r="C71" i="3"/>
  <c r="C48" i="3"/>
  <c r="C75" i="3"/>
  <c r="C52" i="3"/>
  <c r="C36" i="51"/>
  <c r="C37" i="51"/>
  <c r="D19" i="45"/>
  <c r="F19" i="45" s="1"/>
  <c r="G19" i="45" s="1"/>
  <c r="S54" i="47"/>
  <c r="AU31" i="47"/>
  <c r="AU54" i="47" s="1"/>
  <c r="H75" i="3"/>
  <c r="H52" i="3"/>
  <c r="V169" i="3"/>
  <c r="Y82" i="3"/>
  <c r="Y158" i="3"/>
  <c r="W158" i="3"/>
  <c r="W82" i="3"/>
  <c r="T16" i="62"/>
  <c r="T41" i="62"/>
  <c r="X16" i="62"/>
  <c r="W16" i="62" s="1"/>
  <c r="W41" i="62" s="1"/>
  <c r="I58" i="19"/>
  <c r="I59" i="19"/>
  <c r="B79" i="3"/>
  <c r="B56" i="3" s="1"/>
  <c r="V103" i="3"/>
  <c r="X18" i="62"/>
  <c r="W18" i="62"/>
  <c r="W43" i="62"/>
  <c r="T18" i="62"/>
  <c r="T43" i="62" s="1"/>
  <c r="E105" i="73"/>
  <c r="H71" i="3"/>
  <c r="H48" i="3"/>
  <c r="AG13" i="47"/>
  <c r="AG48" i="47"/>
  <c r="AG40" i="47"/>
  <c r="AG39" i="47"/>
  <c r="AG49" i="47"/>
  <c r="AG42" i="47"/>
  <c r="AG27" i="47"/>
  <c r="AG44" i="47"/>
  <c r="AG21" i="47"/>
  <c r="AG46" i="47"/>
  <c r="AG20" i="47"/>
  <c r="AG19" i="47"/>
  <c r="AG50" i="47"/>
  <c r="AG15" i="47"/>
  <c r="AG14" i="47"/>
  <c r="AG22" i="47"/>
  <c r="AG29" i="47"/>
  <c r="AG35" i="47"/>
  <c r="AF57" i="47"/>
  <c r="AU53" i="47"/>
  <c r="U35" i="71"/>
  <c r="U59" i="71" s="1"/>
  <c r="L11" i="38"/>
  <c r="K59" i="8"/>
  <c r="R8" i="19"/>
  <c r="B16" i="63"/>
  <c r="G17" i="49"/>
  <c r="AC7" i="70"/>
  <c r="Q44" i="47"/>
  <c r="Q54" i="47" s="1"/>
  <c r="C24" i="76"/>
  <c r="C32" i="76"/>
  <c r="D22" i="76"/>
  <c r="E30" i="63"/>
  <c r="E11" i="63"/>
  <c r="K59" i="71"/>
  <c r="U24" i="62"/>
  <c r="X24" i="62" s="1"/>
  <c r="W24" i="62" s="1"/>
  <c r="W49" i="62" s="1"/>
  <c r="W168" i="3"/>
  <c r="G13" i="49"/>
  <c r="G30" i="49" s="1"/>
  <c r="Q42" i="47"/>
  <c r="M61" i="62"/>
  <c r="M62" i="62"/>
  <c r="U15" i="62"/>
  <c r="X54" i="47"/>
  <c r="N28" i="51"/>
  <c r="AE60" i="48"/>
  <c r="F31" i="76"/>
  <c r="F13" i="76"/>
  <c r="F18" i="76"/>
  <c r="E18" i="76"/>
  <c r="E42" i="76"/>
  <c r="E44" i="76"/>
  <c r="E45" i="76"/>
  <c r="G53" i="3"/>
  <c r="D17" i="63"/>
  <c r="D24" i="63"/>
  <c r="C17" i="63"/>
  <c r="C24" i="63"/>
  <c r="T35" i="59"/>
  <c r="O10" i="20"/>
  <c r="O10" i="22"/>
  <c r="K10" i="23" s="1"/>
  <c r="J35" i="20"/>
  <c r="G35" i="20"/>
  <c r="H35" i="20"/>
  <c r="I58" i="20"/>
  <c r="I35" i="20"/>
  <c r="I59" i="20"/>
  <c r="E23" i="19"/>
  <c r="B58" i="20"/>
  <c r="B35" i="20"/>
  <c r="L53" i="69"/>
  <c r="L51" i="69"/>
  <c r="E58" i="20"/>
  <c r="L42" i="69"/>
  <c r="L41" i="69"/>
  <c r="L38" i="69"/>
  <c r="L48" i="69"/>
  <c r="O26" i="22"/>
  <c r="K26" i="23" s="1"/>
  <c r="O26" i="20"/>
  <c r="T26" i="71"/>
  <c r="O26" i="19"/>
  <c r="K43" i="48"/>
  <c r="L43" i="48"/>
  <c r="L28" i="48"/>
  <c r="K28" i="48"/>
  <c r="L74" i="50"/>
  <c r="K74" i="50"/>
  <c r="AX19" i="47"/>
  <c r="AX41" i="47"/>
  <c r="AX37" i="47"/>
  <c r="AX50" i="47"/>
  <c r="AX13" i="47"/>
  <c r="AX49" i="47"/>
  <c r="AX46" i="47"/>
  <c r="AX44" i="47"/>
  <c r="AX40" i="47"/>
  <c r="AX21" i="47"/>
  <c r="AX22" i="47"/>
  <c r="AX35" i="47"/>
  <c r="AX17" i="47"/>
  <c r="AX16" i="47"/>
  <c r="AX20" i="47"/>
  <c r="AX25" i="47"/>
  <c r="AX27" i="47"/>
  <c r="AX18" i="47"/>
  <c r="AX51" i="47"/>
  <c r="AX14" i="47"/>
  <c r="E10" i="19"/>
  <c r="E59" i="71"/>
  <c r="L18" i="48"/>
  <c r="K18" i="48"/>
  <c r="L66" i="53"/>
  <c r="K66" i="53"/>
  <c r="K53" i="48"/>
  <c r="L53" i="48"/>
  <c r="F67" i="54"/>
  <c r="F60" i="54"/>
  <c r="S29" i="51"/>
  <c r="AX12" i="47"/>
  <c r="K71" i="50"/>
  <c r="L71" i="50"/>
  <c r="T24" i="62"/>
  <c r="T49" i="62" s="1"/>
  <c r="B3" i="63"/>
  <c r="B36" i="63"/>
  <c r="C82" i="3"/>
  <c r="O21" i="20"/>
  <c r="O21" i="22"/>
  <c r="K21" i="23"/>
  <c r="T21" i="71"/>
  <c r="O21" i="19"/>
  <c r="E23" i="20"/>
  <c r="E35" i="19"/>
  <c r="L17" i="48"/>
  <c r="K17" i="48"/>
  <c r="K65" i="50"/>
  <c r="L65" i="50"/>
  <c r="F64" i="54"/>
  <c r="F66" i="54"/>
  <c r="C13" i="54"/>
  <c r="L18" i="50"/>
  <c r="B13" i="54"/>
  <c r="K18" i="50"/>
  <c r="Q31" i="51"/>
  <c r="D32" i="76"/>
  <c r="D24" i="76"/>
  <c r="E22" i="76"/>
  <c r="O30" i="20"/>
  <c r="O30" i="22"/>
  <c r="K30" i="23" s="1"/>
  <c r="O30" i="19"/>
  <c r="T30" i="71"/>
  <c r="O28" i="20"/>
  <c r="O28" i="22"/>
  <c r="K28" i="23" s="1"/>
  <c r="O28" i="19"/>
  <c r="T28" i="71"/>
  <c r="K42" i="48"/>
  <c r="L42" i="48"/>
  <c r="L19" i="53"/>
  <c r="K19" i="53"/>
  <c r="F63" i="54"/>
  <c r="U35" i="59"/>
  <c r="T15" i="62"/>
  <c r="T40" i="62" s="1"/>
  <c r="X15" i="62"/>
  <c r="W15" i="62" s="1"/>
  <c r="W40" i="62" s="1"/>
  <c r="B17" i="63"/>
  <c r="E17" i="63"/>
  <c r="E123" i="73"/>
  <c r="Y112" i="3"/>
  <c r="H82" i="3"/>
  <c r="D7" i="27" s="1"/>
  <c r="AU57" i="47"/>
  <c r="AV42" i="47"/>
  <c r="AV22" i="47"/>
  <c r="E10" i="20"/>
  <c r="E10" i="22" s="1"/>
  <c r="E59" i="19"/>
  <c r="S27" i="59"/>
  <c r="T27" i="59"/>
  <c r="U27" i="59" s="1"/>
  <c r="P27" i="59"/>
  <c r="Q27" i="59"/>
  <c r="S29" i="59"/>
  <c r="T29" i="59"/>
  <c r="U29" i="59"/>
  <c r="P29" i="59"/>
  <c r="Q29" i="59"/>
  <c r="E32" i="76"/>
  <c r="F22" i="76"/>
  <c r="F32" i="76" s="1"/>
  <c r="J24" i="63"/>
  <c r="K88" i="50"/>
  <c r="L88" i="50"/>
  <c r="B14" i="54"/>
  <c r="K19" i="50"/>
  <c r="C14" i="54"/>
  <c r="L19" i="50"/>
  <c r="Y159" i="3"/>
  <c r="Y129" i="3"/>
  <c r="D66" i="54"/>
  <c r="D78" i="54" s="1"/>
  <c r="B66" i="54"/>
  <c r="B78" i="54"/>
  <c r="L67" i="53"/>
  <c r="K67" i="53"/>
  <c r="K20" i="53"/>
  <c r="L20" i="53"/>
  <c r="S22" i="59"/>
  <c r="T22" i="59"/>
  <c r="P22" i="59"/>
  <c r="Q22" i="59"/>
  <c r="B24" i="63"/>
  <c r="U22" i="59"/>
  <c r="L68" i="53"/>
  <c r="K68" i="53"/>
  <c r="H59" i="23" l="1"/>
  <c r="AH59" i="57"/>
  <c r="R9" i="23"/>
  <c r="AG9" i="57" s="1"/>
  <c r="T18" i="9"/>
  <c r="B36" i="9" s="1"/>
  <c r="P80" i="9"/>
  <c r="H12" i="46"/>
  <c r="C10" i="46" s="1"/>
  <c r="L11" i="22"/>
  <c r="I59" i="72"/>
  <c r="C37" i="9"/>
  <c r="T19" i="9"/>
  <c r="E10" i="23"/>
  <c r="E59" i="22"/>
  <c r="B6" i="19"/>
  <c r="B6" i="20" s="1"/>
  <c r="B6" i="22" s="1"/>
  <c r="G6" i="22" s="1"/>
  <c r="G6" i="23" s="1"/>
  <c r="B29" i="27"/>
  <c r="B44" i="27" s="1"/>
  <c r="B28" i="27"/>
  <c r="D31" i="51"/>
  <c r="T77" i="9"/>
  <c r="R80" i="9"/>
  <c r="B28" i="9"/>
  <c r="Z31" i="9"/>
  <c r="M38" i="69"/>
  <c r="H44" i="22"/>
  <c r="G44" i="23" s="1"/>
  <c r="H45" i="69"/>
  <c r="O80" i="9"/>
  <c r="T8" i="9"/>
  <c r="W8" i="9" s="1"/>
  <c r="T54" i="9"/>
  <c r="T35" i="9"/>
  <c r="W35" i="9" s="1"/>
  <c r="T25" i="9"/>
  <c r="W25" i="9" s="1"/>
  <c r="W21" i="9"/>
  <c r="B39" i="9"/>
  <c r="Z21" i="9"/>
  <c r="B18" i="9"/>
  <c r="W33" i="9"/>
  <c r="W51" i="9"/>
  <c r="B48" i="9"/>
  <c r="S80" i="9"/>
  <c r="T22" i="9"/>
  <c r="W22" i="9" s="1"/>
  <c r="T14" i="9"/>
  <c r="W14" i="9" s="1"/>
  <c r="T10" i="9"/>
  <c r="W10" i="9" s="1"/>
  <c r="T7" i="9"/>
  <c r="R6" i="19"/>
  <c r="F49" i="69"/>
  <c r="H49" i="69" s="1"/>
  <c r="F42" i="69"/>
  <c r="F48" i="69"/>
  <c r="M48" i="69" s="1"/>
  <c r="H51" i="22" s="1"/>
  <c r="E64" i="69"/>
  <c r="M51" i="69"/>
  <c r="I54" i="22" s="1"/>
  <c r="G54" i="23" s="1"/>
  <c r="T39" i="9"/>
  <c r="P59" i="19"/>
  <c r="T61" i="22"/>
  <c r="D55" i="23"/>
  <c r="D40" i="23"/>
  <c r="Z9" i="23"/>
  <c r="D57" i="23"/>
  <c r="D53" i="23"/>
  <c r="D50" i="23"/>
  <c r="D47" i="23"/>
  <c r="F15" i="33"/>
  <c r="D52" i="23"/>
  <c r="D51" i="23"/>
  <c r="C39" i="23"/>
  <c r="H15" i="33" s="1"/>
  <c r="M53" i="69"/>
  <c r="J56" i="22" s="1"/>
  <c r="G56" i="23" s="1"/>
  <c r="D54" i="23"/>
  <c r="D48" i="23"/>
  <c r="D46" i="23"/>
  <c r="D44" i="23"/>
  <c r="B15" i="33"/>
  <c r="D35" i="23"/>
  <c r="B35" i="23"/>
  <c r="D43" i="20"/>
  <c r="C47" i="23"/>
  <c r="C15" i="33" s="1"/>
  <c r="D45" i="23"/>
  <c r="D41" i="23"/>
  <c r="E58" i="23"/>
  <c r="L35" i="23"/>
  <c r="B58" i="23"/>
  <c r="B35" i="22"/>
  <c r="C58" i="22"/>
  <c r="P35" i="22"/>
  <c r="R9" i="22"/>
  <c r="R40" i="22"/>
  <c r="AB9" i="23"/>
  <c r="AB7" i="23"/>
  <c r="G15" i="23"/>
  <c r="E58" i="22"/>
  <c r="B58" i="22"/>
  <c r="D35" i="22"/>
  <c r="C35" i="22"/>
  <c r="AB11" i="23"/>
  <c r="AC7" i="57"/>
  <c r="P12" i="22"/>
  <c r="L12" i="23" s="1"/>
  <c r="AB12" i="23" s="1"/>
  <c r="H29" i="69"/>
  <c r="G31" i="22"/>
  <c r="G31" i="23" s="1"/>
  <c r="J41" i="22"/>
  <c r="E57" i="69"/>
  <c r="U79" i="69"/>
  <c r="D57" i="69"/>
  <c r="Q50" i="69"/>
  <c r="G33" i="22"/>
  <c r="G33" i="23" s="1"/>
  <c r="B46" i="3"/>
  <c r="T145" i="73"/>
  <c r="T7" i="73" s="1"/>
  <c r="B140" i="73"/>
  <c r="AV12" i="47"/>
  <c r="AV24" i="47"/>
  <c r="AV15" i="47"/>
  <c r="AV51" i="47"/>
  <c r="AV35" i="47"/>
  <c r="AV19" i="47"/>
  <c r="AV13" i="47"/>
  <c r="AV46" i="47"/>
  <c r="AV29" i="47"/>
  <c r="AV27" i="47"/>
  <c r="AV14" i="47"/>
  <c r="AV49" i="47"/>
  <c r="AV37" i="47"/>
  <c r="AV25" i="47"/>
  <c r="AV41" i="47"/>
  <c r="AV20" i="47"/>
  <c r="AV44" i="47"/>
  <c r="AV50" i="47"/>
  <c r="AV39" i="47"/>
  <c r="AV18" i="47"/>
  <c r="AV48" i="47"/>
  <c r="AV16" i="47"/>
  <c r="AV43" i="47"/>
  <c r="AV40" i="47"/>
  <c r="AV21" i="47"/>
  <c r="AV30" i="47"/>
  <c r="T58" i="62"/>
  <c r="E23" i="22"/>
  <c r="E35" i="20"/>
  <c r="E59" i="20" s="1"/>
  <c r="AV17" i="47"/>
  <c r="E16" i="63"/>
  <c r="E24" i="63" s="1"/>
  <c r="AG54" i="47"/>
  <c r="C59" i="3"/>
  <c r="I42" i="3"/>
  <c r="C7" i="73"/>
  <c r="H59" i="3"/>
  <c r="T33" i="62"/>
  <c r="T61" i="62" s="1"/>
  <c r="D34" i="76"/>
  <c r="S33" i="51"/>
  <c r="J7" i="63"/>
  <c r="Q32" i="51"/>
  <c r="Q30" i="51"/>
  <c r="D10" i="45"/>
  <c r="B28" i="45"/>
  <c r="B51" i="45" s="1"/>
  <c r="F10" i="45"/>
  <c r="AC35" i="57"/>
  <c r="X27" i="62"/>
  <c r="W27" i="62" s="1"/>
  <c r="W52" i="62" s="1"/>
  <c r="W58" i="62" s="1"/>
  <c r="G24" i="63"/>
  <c r="D63" i="62"/>
  <c r="B63" i="62"/>
  <c r="D75" i="3"/>
  <c r="D52" i="3" s="1"/>
  <c r="I75" i="3"/>
  <c r="I52" i="3" s="1"/>
  <c r="D13" i="45"/>
  <c r="F13" i="45"/>
  <c r="G13" i="45" s="1"/>
  <c r="I79" i="3"/>
  <c r="I56" i="3" s="1"/>
  <c r="D79" i="3"/>
  <c r="D56" i="3" s="1"/>
  <c r="D21" i="45"/>
  <c r="F21" i="45"/>
  <c r="G21" i="45" s="1"/>
  <c r="D17" i="45"/>
  <c r="F17" i="45" s="1"/>
  <c r="G17" i="45" s="1"/>
  <c r="V67" i="3"/>
  <c r="U20" i="48"/>
  <c r="Y169" i="3"/>
  <c r="Y167" i="3"/>
  <c r="U33" i="62"/>
  <c r="U6" i="8"/>
  <c r="U23" i="8" s="1"/>
  <c r="U24" i="8" s="1"/>
  <c r="V11" i="8"/>
  <c r="U13" i="8"/>
  <c r="V13" i="8" s="1"/>
  <c r="W13" i="8" s="1"/>
  <c r="T6" i="8"/>
  <c r="T23" i="8" s="1"/>
  <c r="T24" i="8" s="1"/>
  <c r="E20" i="46"/>
  <c r="G73" i="3"/>
  <c r="B73" i="3"/>
  <c r="B50" i="3" s="1"/>
  <c r="D67" i="3"/>
  <c r="V161" i="3"/>
  <c r="AX30" i="47"/>
  <c r="AX29" i="47"/>
  <c r="AX39" i="47"/>
  <c r="AX43" i="47"/>
  <c r="AX15" i="47"/>
  <c r="AX24" i="47"/>
  <c r="V59" i="3"/>
  <c r="V166" i="3"/>
  <c r="B80" i="3"/>
  <c r="B57" i="3" s="1"/>
  <c r="W112" i="3"/>
  <c r="C122" i="73"/>
  <c r="U26" i="48"/>
  <c r="V73" i="3"/>
  <c r="V167" i="3" s="1"/>
  <c r="X112" i="3"/>
  <c r="D122" i="73"/>
  <c r="T30" i="59"/>
  <c r="T31" i="59"/>
  <c r="T33" i="59"/>
  <c r="T34" i="59"/>
  <c r="O6" i="22"/>
  <c r="O6" i="20"/>
  <c r="M74" i="50"/>
  <c r="O97" i="50"/>
  <c r="D25" i="54"/>
  <c r="M30" i="50" s="1"/>
  <c r="G26" i="54"/>
  <c r="G50" i="54"/>
  <c r="B25" i="54"/>
  <c r="K30" i="50" s="1"/>
  <c r="G11" i="23"/>
  <c r="P41" i="22"/>
  <c r="T24" i="59"/>
  <c r="P7" i="20"/>
  <c r="F48" i="54"/>
  <c r="O76" i="50"/>
  <c r="F39" i="54"/>
  <c r="O67" i="50"/>
  <c r="F20" i="54"/>
  <c r="F12" i="54"/>
  <c r="Y46" i="55"/>
  <c r="P10" i="22"/>
  <c r="P57" i="22"/>
  <c r="L57" i="23" s="1"/>
  <c r="P49" i="22"/>
  <c r="L49" i="23" s="1"/>
  <c r="H42" i="69"/>
  <c r="L46" i="69"/>
  <c r="M46" i="69" s="1"/>
  <c r="G49" i="22" s="1"/>
  <c r="O75" i="50"/>
  <c r="F47" i="54"/>
  <c r="F38" i="54"/>
  <c r="O66" i="50"/>
  <c r="F21" i="54"/>
  <c r="M19" i="50"/>
  <c r="U30" i="47"/>
  <c r="U20" i="47"/>
  <c r="U16" i="47"/>
  <c r="T54" i="47"/>
  <c r="U12" i="47"/>
  <c r="P42" i="20"/>
  <c r="P58" i="20" s="1"/>
  <c r="O8" i="22"/>
  <c r="K8" i="23" s="1"/>
  <c r="AB8" i="23" s="1"/>
  <c r="M70" i="50"/>
  <c r="O93" i="50"/>
  <c r="M20" i="53"/>
  <c r="O21" i="53"/>
  <c r="O43" i="53"/>
  <c r="M42" i="53"/>
  <c r="L23" i="8"/>
  <c r="F46" i="54"/>
  <c r="O68" i="50"/>
  <c r="F23" i="54"/>
  <c r="F19" i="54"/>
  <c r="G15" i="54"/>
  <c r="D14" i="54"/>
  <c r="G39" i="54"/>
  <c r="D37" i="54"/>
  <c r="M68" i="53"/>
  <c r="O69" i="53"/>
  <c r="O27" i="48"/>
  <c r="O52" i="48"/>
  <c r="O26" i="48"/>
  <c r="O51" i="48"/>
  <c r="O46" i="48"/>
  <c r="O21" i="48"/>
  <c r="O45" i="48"/>
  <c r="O20" i="48"/>
  <c r="M43" i="48"/>
  <c r="L54" i="69"/>
  <c r="M54" i="69" s="1"/>
  <c r="I57" i="22" s="1"/>
  <c r="O72" i="50"/>
  <c r="M65" i="50"/>
  <c r="AB37" i="47"/>
  <c r="AJ39" i="47"/>
  <c r="M17" i="48"/>
  <c r="O31" i="48"/>
  <c r="O56" i="48"/>
  <c r="M67" i="53"/>
  <c r="AY15" i="47"/>
  <c r="O59" i="48"/>
  <c r="O34" i="48"/>
  <c r="M53" i="48"/>
  <c r="O50" i="48"/>
  <c r="O25" i="48"/>
  <c r="O44" i="48"/>
  <c r="O19" i="48"/>
  <c r="M18" i="48"/>
  <c r="S31" i="49"/>
  <c r="E8" i="34"/>
  <c r="F56" i="68"/>
  <c r="M18" i="50"/>
  <c r="I17" i="56"/>
  <c r="AC37" i="47"/>
  <c r="AC53" i="47" s="1"/>
  <c r="AC54" i="47" s="1"/>
  <c r="M28" i="48"/>
  <c r="M23" i="48"/>
  <c r="O55" i="48"/>
  <c r="O30" i="48"/>
  <c r="O49" i="48"/>
  <c r="O24" i="48"/>
  <c r="D25" i="51"/>
  <c r="F57" i="68"/>
  <c r="M79" i="3"/>
  <c r="M56" i="3" s="1"/>
  <c r="V140" i="73"/>
  <c r="O94" i="50"/>
  <c r="O73" i="50"/>
  <c r="O69" i="50"/>
  <c r="G18" i="54"/>
  <c r="G37" i="54"/>
  <c r="M65" i="53"/>
  <c r="AY12" i="47"/>
  <c r="O58" i="48"/>
  <c r="O33" i="48"/>
  <c r="O57" i="48"/>
  <c r="O32" i="48"/>
  <c r="M48" i="48"/>
  <c r="O22" i="48"/>
  <c r="O47" i="48"/>
  <c r="D26" i="75"/>
  <c r="D33" i="75" s="1"/>
  <c r="O13" i="55"/>
  <c r="N49" i="21"/>
  <c r="N52" i="21"/>
  <c r="N55" i="21"/>
  <c r="N17" i="21"/>
  <c r="N32" i="21"/>
  <c r="N46" i="21"/>
  <c r="N56" i="21"/>
  <c r="N25" i="21"/>
  <c r="N31" i="21"/>
  <c r="N39" i="21"/>
  <c r="N41" i="21"/>
  <c r="N43" i="21"/>
  <c r="N45" i="21"/>
  <c r="N47" i="21"/>
  <c r="N50" i="21"/>
  <c r="N53" i="21"/>
  <c r="N57" i="21"/>
  <c r="F58" i="68"/>
  <c r="D55" i="68"/>
  <c r="D45" i="68"/>
  <c r="M73" i="3"/>
  <c r="M50" i="3" s="1"/>
  <c r="M66" i="3"/>
  <c r="L77" i="3"/>
  <c r="L54" i="3" s="1"/>
  <c r="L74" i="3"/>
  <c r="L51" i="3" s="1"/>
  <c r="L71" i="3"/>
  <c r="L48" i="3" s="1"/>
  <c r="L66" i="3"/>
  <c r="L43" i="3" s="1"/>
  <c r="L65" i="3"/>
  <c r="K66" i="3"/>
  <c r="K43" i="3" s="1"/>
  <c r="M71" i="3"/>
  <c r="M48" i="3" s="1"/>
  <c r="M68" i="3"/>
  <c r="M45" i="3" s="1"/>
  <c r="L75" i="3"/>
  <c r="L52" i="3" s="1"/>
  <c r="L67" i="3"/>
  <c r="L44" i="3" s="1"/>
  <c r="N44" i="21"/>
  <c r="N42" i="21"/>
  <c r="N40" i="21"/>
  <c r="V40" i="21" s="1"/>
  <c r="N24" i="21"/>
  <c r="N19" i="21"/>
  <c r="N16" i="21"/>
  <c r="N18" i="21"/>
  <c r="N20" i="21"/>
  <c r="N22" i="21"/>
  <c r="N27" i="21"/>
  <c r="N33" i="21"/>
  <c r="M70" i="3"/>
  <c r="M47" i="3" s="1"/>
  <c r="M69" i="3"/>
  <c r="M46" i="3" s="1"/>
  <c r="L78" i="3"/>
  <c r="L55" i="3" s="1"/>
  <c r="L70" i="3"/>
  <c r="L47" i="3" s="1"/>
  <c r="L68" i="3"/>
  <c r="L45" i="3" s="1"/>
  <c r="K77" i="3"/>
  <c r="K54" i="3" s="1"/>
  <c r="K72" i="3"/>
  <c r="K49" i="3" s="1"/>
  <c r="K75" i="3"/>
  <c r="K52" i="3" s="1"/>
  <c r="K74" i="3"/>
  <c r="K51" i="3" s="1"/>
  <c r="K70" i="3"/>
  <c r="K47" i="3" s="1"/>
  <c r="K68" i="3"/>
  <c r="K45" i="3" s="1"/>
  <c r="K81" i="3"/>
  <c r="K58" i="3" s="1"/>
  <c r="K80" i="3"/>
  <c r="K57" i="3" s="1"/>
  <c r="Z26" i="3"/>
  <c r="K71" i="3" s="1"/>
  <c r="K48" i="3" s="1"/>
  <c r="K69" i="3"/>
  <c r="K46" i="3" s="1"/>
  <c r="G12" i="23"/>
  <c r="K79" i="3"/>
  <c r="K56" i="3" s="1"/>
  <c r="K78" i="3"/>
  <c r="K55" i="3" s="1"/>
  <c r="K73" i="3"/>
  <c r="K50" i="3" s="1"/>
  <c r="K67" i="3"/>
  <c r="K44" i="3" s="1"/>
  <c r="K64" i="3"/>
  <c r="T17" i="9" l="1"/>
  <c r="Z23" i="9" s="1"/>
  <c r="B6" i="23"/>
  <c r="Z6" i="23" s="1"/>
  <c r="B10" i="71"/>
  <c r="B10" i="19" s="1"/>
  <c r="B12" i="34"/>
  <c r="E10" i="46"/>
  <c r="P84" i="9"/>
  <c r="P85" i="9" s="1"/>
  <c r="W19" i="9"/>
  <c r="P89" i="9"/>
  <c r="R41" i="8"/>
  <c r="I40" i="8"/>
  <c r="I43" i="8" s="1"/>
  <c r="L40" i="8"/>
  <c r="B43" i="27"/>
  <c r="B36" i="27"/>
  <c r="C29" i="27" s="1"/>
  <c r="B37" i="27"/>
  <c r="D28" i="27" s="1"/>
  <c r="H48" i="69"/>
  <c r="F57" i="69"/>
  <c r="O84" i="9"/>
  <c r="O85" i="9"/>
  <c r="Z17" i="9"/>
  <c r="W7" i="9"/>
  <c r="W18" i="9"/>
  <c r="B41" i="9"/>
  <c r="C41" i="9" s="1"/>
  <c r="B11" i="9"/>
  <c r="W34" i="9"/>
  <c r="Z14" i="9"/>
  <c r="H57" i="69"/>
  <c r="M42" i="69"/>
  <c r="H45" i="22" s="1"/>
  <c r="G45" i="23" s="1"/>
  <c r="W39" i="9"/>
  <c r="C7" i="22"/>
  <c r="C7" i="23" s="1"/>
  <c r="C58" i="23"/>
  <c r="G51" i="23"/>
  <c r="D43" i="22"/>
  <c r="G41" i="23"/>
  <c r="W79" i="69"/>
  <c r="K41" i="3"/>
  <c r="K82" i="3"/>
  <c r="V16" i="21"/>
  <c r="N35" i="21"/>
  <c r="O16" i="20"/>
  <c r="O16" i="22"/>
  <c r="O16" i="19"/>
  <c r="T16" i="71"/>
  <c r="V56" i="21"/>
  <c r="T56" i="71"/>
  <c r="AY31" i="47"/>
  <c r="AY54" i="47" s="1"/>
  <c r="M69" i="50"/>
  <c r="O92" i="50"/>
  <c r="L69" i="50"/>
  <c r="K69" i="50"/>
  <c r="M55" i="48"/>
  <c r="K55" i="48"/>
  <c r="L55" i="48"/>
  <c r="H26" i="49"/>
  <c r="H22" i="49"/>
  <c r="H28" i="49"/>
  <c r="H27" i="49"/>
  <c r="H13" i="49"/>
  <c r="H15" i="49"/>
  <c r="H20" i="49"/>
  <c r="H18" i="49"/>
  <c r="H21" i="49"/>
  <c r="H14" i="49"/>
  <c r="H23" i="49"/>
  <c r="H25" i="49"/>
  <c r="H16" i="49"/>
  <c r="H29" i="49"/>
  <c r="H17" i="49"/>
  <c r="H19" i="49"/>
  <c r="M25" i="48"/>
  <c r="L25" i="48"/>
  <c r="K25" i="48"/>
  <c r="M59" i="48"/>
  <c r="L59" i="48"/>
  <c r="K59" i="48"/>
  <c r="M56" i="48"/>
  <c r="L56" i="48"/>
  <c r="K56" i="48"/>
  <c r="M45" i="48"/>
  <c r="K45" i="48"/>
  <c r="L45" i="48"/>
  <c r="M26" i="48"/>
  <c r="K26" i="48"/>
  <c r="L26" i="48"/>
  <c r="G40" i="54"/>
  <c r="G16" i="54"/>
  <c r="B15" i="54"/>
  <c r="K20" i="50" s="1"/>
  <c r="C15" i="54"/>
  <c r="L20" i="50" s="1"/>
  <c r="F69" i="54"/>
  <c r="I17" i="53"/>
  <c r="M66" i="50"/>
  <c r="O89" i="50"/>
  <c r="K66" i="50"/>
  <c r="L66" i="50"/>
  <c r="M75" i="50"/>
  <c r="O98" i="50"/>
  <c r="K75" i="50"/>
  <c r="L75" i="50"/>
  <c r="D12" i="54"/>
  <c r="C12" i="54"/>
  <c r="L17" i="50" s="1"/>
  <c r="B12" i="54"/>
  <c r="M67" i="50"/>
  <c r="O90" i="50"/>
  <c r="L67" i="50"/>
  <c r="K67" i="50"/>
  <c r="M97" i="50"/>
  <c r="K97" i="50"/>
  <c r="L97" i="50"/>
  <c r="AX54" i="47"/>
  <c r="G50" i="3"/>
  <c r="G82" i="3"/>
  <c r="W11" i="8"/>
  <c r="W23" i="8" s="1"/>
  <c r="W24" i="8" s="1"/>
  <c r="V6" i="8"/>
  <c r="V23" i="8" s="1"/>
  <c r="V24" i="8" s="1"/>
  <c r="G10" i="45"/>
  <c r="F28" i="45"/>
  <c r="F51" i="45" s="1"/>
  <c r="G5" i="45" s="1"/>
  <c r="G28" i="45" s="1"/>
  <c r="G51" i="45" s="1"/>
  <c r="X33" i="62"/>
  <c r="E3" i="63"/>
  <c r="A4" i="63" s="1"/>
  <c r="V27" i="21"/>
  <c r="T27" i="71"/>
  <c r="O27" i="22"/>
  <c r="K27" i="23" s="1"/>
  <c r="Z26" i="21"/>
  <c r="O27" i="19"/>
  <c r="O27" i="20"/>
  <c r="V22" i="21"/>
  <c r="O22" i="20"/>
  <c r="O22" i="22"/>
  <c r="K22" i="23" s="1"/>
  <c r="O22" i="19"/>
  <c r="T22" i="71"/>
  <c r="V39" i="21"/>
  <c r="N58" i="21"/>
  <c r="T39" i="71"/>
  <c r="M47" i="48"/>
  <c r="K47" i="48"/>
  <c r="L47" i="48"/>
  <c r="I35" i="56"/>
  <c r="G57" i="23"/>
  <c r="O44" i="53"/>
  <c r="M43" i="53"/>
  <c r="I18" i="53" s="1"/>
  <c r="K43" i="53"/>
  <c r="L43" i="53"/>
  <c r="D15" i="54"/>
  <c r="M20" i="50" s="1"/>
  <c r="M76" i="50"/>
  <c r="O99" i="50"/>
  <c r="K76" i="50"/>
  <c r="L76" i="50"/>
  <c r="U24" i="59"/>
  <c r="D50" i="54"/>
  <c r="M55" i="50" s="1"/>
  <c r="C50" i="54"/>
  <c r="L55" i="50" s="1"/>
  <c r="G73" i="54"/>
  <c r="B50" i="54"/>
  <c r="K55" i="50" s="1"/>
  <c r="E35" i="22"/>
  <c r="E23" i="23"/>
  <c r="V147" i="3"/>
  <c r="B145" i="73"/>
  <c r="B7" i="73" s="1"/>
  <c r="V42" i="21"/>
  <c r="T42" i="71"/>
  <c r="T50" i="71"/>
  <c r="V55" i="21"/>
  <c r="T55" i="71"/>
  <c r="R6" i="22"/>
  <c r="V44" i="21"/>
  <c r="T44" i="71"/>
  <c r="T47" i="71"/>
  <c r="T52" i="71"/>
  <c r="M57" i="48"/>
  <c r="K57" i="48"/>
  <c r="L57" i="48"/>
  <c r="M73" i="50"/>
  <c r="O96" i="50"/>
  <c r="L73" i="50"/>
  <c r="K73" i="50"/>
  <c r="M50" i="48"/>
  <c r="L50" i="48"/>
  <c r="K50" i="48"/>
  <c r="M31" i="48"/>
  <c r="K31" i="48"/>
  <c r="L31" i="48"/>
  <c r="M42" i="50"/>
  <c r="D38" i="54"/>
  <c r="M43" i="50" s="1"/>
  <c r="B38" i="54"/>
  <c r="K43" i="50" s="1"/>
  <c r="F61" i="54"/>
  <c r="C38" i="54"/>
  <c r="L43" i="50" s="1"/>
  <c r="V24" i="21"/>
  <c r="O24" i="22"/>
  <c r="K24" i="23" s="1"/>
  <c r="O24" i="19"/>
  <c r="O24" i="20"/>
  <c r="T24" i="71"/>
  <c r="V45" i="21"/>
  <c r="T45" i="71"/>
  <c r="V49" i="21"/>
  <c r="T49" i="71"/>
  <c r="M33" i="48"/>
  <c r="L33" i="48"/>
  <c r="K33" i="48"/>
  <c r="M94" i="50"/>
  <c r="L94" i="50"/>
  <c r="K94" i="50"/>
  <c r="M49" i="48"/>
  <c r="L49" i="48"/>
  <c r="K49" i="48"/>
  <c r="M19" i="48"/>
  <c r="K19" i="48"/>
  <c r="L19" i="48"/>
  <c r="M72" i="50"/>
  <c r="O95" i="50"/>
  <c r="K72" i="50"/>
  <c r="L72" i="50"/>
  <c r="M27" i="48"/>
  <c r="L27" i="48"/>
  <c r="K27" i="48"/>
  <c r="L37" i="8"/>
  <c r="L68" i="8"/>
  <c r="G23" i="8"/>
  <c r="F71" i="54"/>
  <c r="D44" i="3"/>
  <c r="U35" i="48"/>
  <c r="D9" i="27" s="1"/>
  <c r="D28" i="45"/>
  <c r="D51" i="45" s="1"/>
  <c r="I58" i="22"/>
  <c r="I59" i="22" s="1"/>
  <c r="W33" i="62"/>
  <c r="W61" i="62" s="1"/>
  <c r="W62" i="62" s="1"/>
  <c r="AV54" i="47"/>
  <c r="B59" i="3"/>
  <c r="M43" i="3"/>
  <c r="V41" i="21"/>
  <c r="T41" i="71"/>
  <c r="M32" i="48"/>
  <c r="L32" i="48"/>
  <c r="K32" i="48"/>
  <c r="B14" i="9"/>
  <c r="V19" i="21"/>
  <c r="T19" i="71"/>
  <c r="O19" i="22"/>
  <c r="K19" i="23" s="1"/>
  <c r="O19" i="19"/>
  <c r="O19" i="20"/>
  <c r="T46" i="71"/>
  <c r="M24" i="48"/>
  <c r="K24" i="48"/>
  <c r="L24" i="48"/>
  <c r="AZ15" i="47"/>
  <c r="AJ37" i="47"/>
  <c r="AB53" i="47"/>
  <c r="AB54" i="47" s="1"/>
  <c r="AH37" i="47"/>
  <c r="M21" i="48"/>
  <c r="K21" i="48"/>
  <c r="L21" i="48"/>
  <c r="M52" i="48"/>
  <c r="L52" i="48"/>
  <c r="K52" i="48"/>
  <c r="V20" i="21"/>
  <c r="O20" i="20"/>
  <c r="O20" i="22"/>
  <c r="K20" i="23" s="1"/>
  <c r="T20" i="71"/>
  <c r="O20" i="19"/>
  <c r="D46" i="68"/>
  <c r="F46" i="68" s="1"/>
  <c r="F45" i="68"/>
  <c r="V57" i="21"/>
  <c r="T57" i="71"/>
  <c r="V31" i="21"/>
  <c r="O31" i="20"/>
  <c r="J29" i="69" s="1"/>
  <c r="O31" i="22"/>
  <c r="K31" i="23" s="1"/>
  <c r="O31" i="19"/>
  <c r="T31" i="71"/>
  <c r="V32" i="21"/>
  <c r="T32" i="71"/>
  <c r="O32" i="20"/>
  <c r="O32" i="19"/>
  <c r="O32" i="22"/>
  <c r="K32" i="23" s="1"/>
  <c r="M22" i="48"/>
  <c r="K22" i="48"/>
  <c r="L22" i="48"/>
  <c r="B37" i="54"/>
  <c r="C37" i="54"/>
  <c r="E12" i="34"/>
  <c r="D34" i="51"/>
  <c r="O33" i="55"/>
  <c r="M46" i="48"/>
  <c r="K46" i="48"/>
  <c r="L46" i="48"/>
  <c r="M68" i="50"/>
  <c r="M83" i="50" s="1"/>
  <c r="O91" i="50"/>
  <c r="K68" i="50"/>
  <c r="L68" i="50"/>
  <c r="O22" i="53"/>
  <c r="M21" i="53"/>
  <c r="K21" i="53"/>
  <c r="L21" i="53"/>
  <c r="M93" i="50"/>
  <c r="L93" i="50"/>
  <c r="K93" i="50"/>
  <c r="G49" i="23"/>
  <c r="L10" i="23"/>
  <c r="AB10" i="23" s="1"/>
  <c r="D39" i="54"/>
  <c r="M44" i="50" s="1"/>
  <c r="F62" i="54"/>
  <c r="C39" i="54"/>
  <c r="L44" i="50" s="1"/>
  <c r="B39" i="54"/>
  <c r="K44" i="50" s="1"/>
  <c r="G27" i="54"/>
  <c r="G51" i="54"/>
  <c r="D26" i="54"/>
  <c r="M31" i="50" s="1"/>
  <c r="B26" i="54"/>
  <c r="K31" i="50" s="1"/>
  <c r="C26" i="54"/>
  <c r="L31" i="50" s="1"/>
  <c r="R6" i="20"/>
  <c r="B23" i="9"/>
  <c r="V33" i="21"/>
  <c r="O33" i="20"/>
  <c r="J31" i="69" s="1"/>
  <c r="O33" i="22"/>
  <c r="K33" i="23" s="1"/>
  <c r="O33" i="19"/>
  <c r="T33" i="71"/>
  <c r="V18" i="21"/>
  <c r="O18" i="22"/>
  <c r="K18" i="23" s="1"/>
  <c r="T18" i="71"/>
  <c r="O18" i="19"/>
  <c r="O18" i="20"/>
  <c r="L42" i="3"/>
  <c r="L82" i="3"/>
  <c r="F55" i="68"/>
  <c r="T53" i="71"/>
  <c r="T43" i="71"/>
  <c r="V43" i="21"/>
  <c r="V25" i="21"/>
  <c r="O25" i="20"/>
  <c r="T25" i="71"/>
  <c r="O25" i="22"/>
  <c r="K25" i="23" s="1"/>
  <c r="O25" i="19"/>
  <c r="V17" i="21"/>
  <c r="T17" i="71"/>
  <c r="O17" i="19"/>
  <c r="O17" i="22"/>
  <c r="K17" i="23" s="1"/>
  <c r="O17" i="20"/>
  <c r="D13" i="55"/>
  <c r="O32" i="55"/>
  <c r="M58" i="48"/>
  <c r="K58" i="48"/>
  <c r="L58" i="48"/>
  <c r="G43" i="54"/>
  <c r="D18" i="54"/>
  <c r="M23" i="50" s="1"/>
  <c r="B18" i="54"/>
  <c r="K23" i="50" s="1"/>
  <c r="C18" i="54"/>
  <c r="L23" i="50" s="1"/>
  <c r="D140" i="73"/>
  <c r="V145" i="73"/>
  <c r="V7" i="73" s="1"/>
  <c r="H12" i="49"/>
  <c r="M30" i="48"/>
  <c r="K30" i="48"/>
  <c r="L30" i="48"/>
  <c r="M44" i="48"/>
  <c r="L44" i="48"/>
  <c r="K44" i="48"/>
  <c r="M34" i="48"/>
  <c r="K34" i="48"/>
  <c r="L34" i="48"/>
  <c r="M20" i="48"/>
  <c r="L20" i="48"/>
  <c r="K20" i="48"/>
  <c r="M51" i="48"/>
  <c r="L51" i="48"/>
  <c r="K51" i="48"/>
  <c r="O70" i="53"/>
  <c r="M69" i="53"/>
  <c r="L69" i="53"/>
  <c r="K69" i="53"/>
  <c r="U14" i="47"/>
  <c r="U18" i="47"/>
  <c r="U46" i="47"/>
  <c r="U15" i="47"/>
  <c r="U21" i="47"/>
  <c r="U27" i="47"/>
  <c r="U48" i="47"/>
  <c r="U19" i="47"/>
  <c r="U22" i="47"/>
  <c r="U29" i="47"/>
  <c r="U35" i="47"/>
  <c r="U42" i="47"/>
  <c r="U13" i="47"/>
  <c r="U54" i="47" s="1"/>
  <c r="U17" i="47"/>
  <c r="U39" i="47"/>
  <c r="U41" i="47"/>
  <c r="U40" i="47"/>
  <c r="U44" i="47"/>
  <c r="U50" i="47"/>
  <c r="U49" i="47"/>
  <c r="F70" i="54"/>
  <c r="W23" i="20"/>
  <c r="D39" i="20" s="1"/>
  <c r="N23" i="71"/>
  <c r="Y43" i="55"/>
  <c r="P59" i="20"/>
  <c r="L41" i="23"/>
  <c r="L58" i="23" s="1"/>
  <c r="P58" i="22"/>
  <c r="P59" i="22" s="1"/>
  <c r="K6" i="23"/>
  <c r="AB6" i="23" s="1"/>
  <c r="X159" i="3"/>
  <c r="X129" i="3"/>
  <c r="W159" i="3"/>
  <c r="W129" i="3"/>
  <c r="W14" i="3" s="1"/>
  <c r="V82" i="3"/>
  <c r="Q34" i="51"/>
  <c r="T62" i="62"/>
  <c r="B82" i="3"/>
  <c r="R6" i="23" l="1"/>
  <c r="T48" i="9"/>
  <c r="P87" i="9" s="1"/>
  <c r="B10" i="20"/>
  <c r="R10" i="19"/>
  <c r="W10" i="71"/>
  <c r="B59" i="71"/>
  <c r="I15" i="33"/>
  <c r="I32" i="33" s="1"/>
  <c r="W48" i="9"/>
  <c r="B48" i="27"/>
  <c r="B47" i="27"/>
  <c r="C43" i="27" s="1"/>
  <c r="H11" i="36" s="1"/>
  <c r="D25" i="27"/>
  <c r="D30" i="27"/>
  <c r="D32" i="27"/>
  <c r="D26" i="27"/>
  <c r="D31" i="27"/>
  <c r="D27" i="27"/>
  <c r="D29" i="27"/>
  <c r="I59" i="8"/>
  <c r="I62" i="8"/>
  <c r="C28" i="27"/>
  <c r="C34" i="27"/>
  <c r="C25" i="27"/>
  <c r="C32" i="27"/>
  <c r="C30" i="27"/>
  <c r="C31" i="27"/>
  <c r="C35" i="27"/>
  <c r="C27" i="27"/>
  <c r="C26" i="27"/>
  <c r="Z28" i="9"/>
  <c r="Z32" i="9" s="1"/>
  <c r="B20" i="9"/>
  <c r="B25" i="9" s="1"/>
  <c r="B7" i="19"/>
  <c r="B7" i="20" s="1"/>
  <c r="B49" i="9"/>
  <c r="D43" i="23"/>
  <c r="D39" i="22"/>
  <c r="D58" i="22" s="1"/>
  <c r="D59" i="22" s="1"/>
  <c r="D58" i="20"/>
  <c r="G44" i="48"/>
  <c r="K60" i="48"/>
  <c r="X147" i="3"/>
  <c r="D145" i="73"/>
  <c r="D7" i="73" s="1"/>
  <c r="C43" i="54"/>
  <c r="L48" i="50" s="1"/>
  <c r="B43" i="54"/>
  <c r="K48" i="50" s="1"/>
  <c r="D43" i="54"/>
  <c r="M48" i="50" s="1"/>
  <c r="P18" i="59"/>
  <c r="Q18" i="59" s="1"/>
  <c r="S18" i="59"/>
  <c r="T18" i="59" s="1"/>
  <c r="L59" i="23"/>
  <c r="M91" i="50"/>
  <c r="K91" i="50"/>
  <c r="L91" i="50"/>
  <c r="K42" i="50"/>
  <c r="M35" i="48"/>
  <c r="B16" i="33"/>
  <c r="K16" i="33" s="1"/>
  <c r="E35" i="23"/>
  <c r="K17" i="50"/>
  <c r="K83" i="50"/>
  <c r="G17" i="54"/>
  <c r="G41" i="54"/>
  <c r="B16" i="54"/>
  <c r="K21" i="50" s="1"/>
  <c r="C16" i="54"/>
  <c r="L21" i="50" s="1"/>
  <c r="D16" i="54"/>
  <c r="M21" i="50" s="1"/>
  <c r="I26" i="48"/>
  <c r="H79" i="48" s="1"/>
  <c r="G59" i="48"/>
  <c r="M92" i="50"/>
  <c r="K92" i="50"/>
  <c r="L92" i="50"/>
  <c r="N59" i="21"/>
  <c r="L60" i="48"/>
  <c r="I30" i="48"/>
  <c r="O43" i="20"/>
  <c r="O43" i="22"/>
  <c r="K43" i="23" s="1"/>
  <c r="O43" i="19"/>
  <c r="D51" i="54"/>
  <c r="M56" i="50" s="1"/>
  <c r="G74" i="54"/>
  <c r="C51" i="54"/>
  <c r="L56" i="50" s="1"/>
  <c r="B51" i="54"/>
  <c r="K56" i="50" s="1"/>
  <c r="O23" i="53"/>
  <c r="M22" i="53"/>
  <c r="K22" i="53"/>
  <c r="L22" i="53"/>
  <c r="H46" i="48"/>
  <c r="O57" i="22"/>
  <c r="K57" i="23" s="1"/>
  <c r="O57" i="20"/>
  <c r="J54" i="69" s="1"/>
  <c r="O57" i="19"/>
  <c r="S21" i="59"/>
  <c r="T21" i="59" s="1"/>
  <c r="P21" i="59"/>
  <c r="Q21" i="59" s="1"/>
  <c r="AH53" i="47"/>
  <c r="AH54" i="47" s="1"/>
  <c r="P20" i="59"/>
  <c r="Q20" i="59" s="1"/>
  <c r="S20" i="59"/>
  <c r="T20" i="59" s="1"/>
  <c r="I32" i="48"/>
  <c r="H27" i="48"/>
  <c r="M95" i="50"/>
  <c r="L95" i="50"/>
  <c r="K95" i="50"/>
  <c r="H19" i="48"/>
  <c r="L35" i="48"/>
  <c r="I33" i="48"/>
  <c r="H50" i="48"/>
  <c r="H57" i="48"/>
  <c r="O52" i="19"/>
  <c r="O52" i="20"/>
  <c r="J49" i="69" s="1"/>
  <c r="O52" i="22"/>
  <c r="K52" i="23" s="1"/>
  <c r="O50" i="20"/>
  <c r="J47" i="69" s="1"/>
  <c r="O50" i="22"/>
  <c r="K50" i="23" s="1"/>
  <c r="O50" i="19"/>
  <c r="D77" i="3"/>
  <c r="V152" i="3"/>
  <c r="V14" i="3" s="1"/>
  <c r="M44" i="53"/>
  <c r="I19" i="53" s="1"/>
  <c r="O45" i="53"/>
  <c r="K44" i="53"/>
  <c r="G19" i="53" s="1"/>
  <c r="L44" i="53"/>
  <c r="H19" i="53" s="1"/>
  <c r="M98" i="50"/>
  <c r="K98" i="50"/>
  <c r="L98" i="50"/>
  <c r="M89" i="50"/>
  <c r="K89" i="50"/>
  <c r="L89" i="50"/>
  <c r="C40" i="54"/>
  <c r="L45" i="50" s="1"/>
  <c r="B40" i="54"/>
  <c r="K45" i="50" s="1"/>
  <c r="D40" i="54"/>
  <c r="M45" i="50" s="1"/>
  <c r="H45" i="48"/>
  <c r="G56" i="48"/>
  <c r="H59" i="48"/>
  <c r="I25" i="48"/>
  <c r="H78" i="48" s="1"/>
  <c r="O56" i="19"/>
  <c r="O56" i="20"/>
  <c r="J53" i="69" s="1"/>
  <c r="O56" i="22"/>
  <c r="K56" i="23" s="1"/>
  <c r="O35" i="19"/>
  <c r="V35" i="21"/>
  <c r="S17" i="59"/>
  <c r="P17" i="59"/>
  <c r="O71" i="53"/>
  <c r="M70" i="53"/>
  <c r="L70" i="53"/>
  <c r="K70" i="53"/>
  <c r="I44" i="48"/>
  <c r="M60" i="48"/>
  <c r="H30" i="49"/>
  <c r="G58" i="48"/>
  <c r="N16" i="71"/>
  <c r="Y36" i="55"/>
  <c r="P26" i="59"/>
  <c r="Q26" i="59" s="1"/>
  <c r="S26" i="59"/>
  <c r="T26" i="59" s="1"/>
  <c r="P19" i="59"/>
  <c r="Q19" i="59" s="1"/>
  <c r="S19" i="59"/>
  <c r="T19" i="59" s="1"/>
  <c r="B11" i="19"/>
  <c r="B51" i="9"/>
  <c r="G28" i="54"/>
  <c r="G52" i="54"/>
  <c r="D27" i="54"/>
  <c r="M32" i="50" s="1"/>
  <c r="B27" i="54"/>
  <c r="K32" i="50" s="1"/>
  <c r="C27" i="54"/>
  <c r="L32" i="50" s="1"/>
  <c r="B28" i="33"/>
  <c r="G46" i="48"/>
  <c r="E10" i="34"/>
  <c r="D28" i="36" s="1"/>
  <c r="H21" i="48"/>
  <c r="O46" i="20"/>
  <c r="J43" i="69" s="1"/>
  <c r="O46" i="19"/>
  <c r="O46" i="22"/>
  <c r="K46" i="23" s="1"/>
  <c r="I27" i="48"/>
  <c r="H80" i="48" s="1"/>
  <c r="K35" i="48"/>
  <c r="H49" i="48"/>
  <c r="O49" i="22"/>
  <c r="K49" i="23" s="1"/>
  <c r="O49" i="19"/>
  <c r="O49" i="20"/>
  <c r="J46" i="69" s="1"/>
  <c r="O45" i="19"/>
  <c r="O45" i="20"/>
  <c r="J42" i="69" s="1"/>
  <c r="O45" i="22"/>
  <c r="K45" i="23" s="1"/>
  <c r="S25" i="59"/>
  <c r="T25" i="59" s="1"/>
  <c r="P25" i="59"/>
  <c r="Q25" i="59" s="1"/>
  <c r="G31" i="48"/>
  <c r="G57" i="48"/>
  <c r="O44" i="22"/>
  <c r="K44" i="23" s="1"/>
  <c r="O44" i="19"/>
  <c r="O44" i="20"/>
  <c r="J41" i="69" s="1"/>
  <c r="O55" i="20"/>
  <c r="O55" i="19"/>
  <c r="O55" i="22"/>
  <c r="K55" i="23" s="1"/>
  <c r="H18" i="53"/>
  <c r="H47" i="48"/>
  <c r="O39" i="22"/>
  <c r="O39" i="20"/>
  <c r="T58" i="71"/>
  <c r="O39" i="19"/>
  <c r="D6" i="27"/>
  <c r="M90" i="50"/>
  <c r="L90" i="50"/>
  <c r="K90" i="50"/>
  <c r="M17" i="50"/>
  <c r="H26" i="48"/>
  <c r="G45" i="48"/>
  <c r="H56" i="48"/>
  <c r="I59" i="48"/>
  <c r="D59" i="48" s="1"/>
  <c r="H55" i="48"/>
  <c r="C55" i="48" s="1"/>
  <c r="AZ18" i="47"/>
  <c r="AZ20" i="47"/>
  <c r="AZ44" i="47"/>
  <c r="AZ24" i="47"/>
  <c r="AZ29" i="47"/>
  <c r="AZ30" i="47"/>
  <c r="AZ43" i="47"/>
  <c r="AZ13" i="47"/>
  <c r="AZ16" i="47"/>
  <c r="AZ49" i="47"/>
  <c r="AZ35" i="47"/>
  <c r="AZ39" i="47"/>
  <c r="AZ37" i="47"/>
  <c r="AZ48" i="47"/>
  <c r="AZ17" i="47"/>
  <c r="AZ27" i="47"/>
  <c r="AZ51" i="47"/>
  <c r="AZ50" i="47"/>
  <c r="AZ46" i="47"/>
  <c r="AZ40" i="47"/>
  <c r="AZ14" i="47"/>
  <c r="AZ22" i="47"/>
  <c r="AZ19" i="47"/>
  <c r="AZ25" i="47"/>
  <c r="AZ42" i="47"/>
  <c r="AZ41" i="47"/>
  <c r="AZ21" i="47"/>
  <c r="K16" i="23"/>
  <c r="K35" i="23" s="1"/>
  <c r="O35" i="22"/>
  <c r="J12" i="33"/>
  <c r="G51" i="48"/>
  <c r="B51" i="48" s="1"/>
  <c r="H20" i="48"/>
  <c r="I34" i="48"/>
  <c r="H30" i="48"/>
  <c r="I58" i="48"/>
  <c r="D58" i="48" s="1"/>
  <c r="O53" i="22"/>
  <c r="K53" i="23" s="1"/>
  <c r="O53" i="19"/>
  <c r="O53" i="20"/>
  <c r="J50" i="69" s="1"/>
  <c r="L59" i="3"/>
  <c r="I46" i="48"/>
  <c r="L42" i="50"/>
  <c r="I22" i="48"/>
  <c r="H75" i="48" s="1"/>
  <c r="F63" i="68"/>
  <c r="L42" i="8" s="1"/>
  <c r="L43" i="8" s="1"/>
  <c r="G52" i="48"/>
  <c r="G21" i="48"/>
  <c r="AJ53" i="47"/>
  <c r="AJ54" i="47" s="1"/>
  <c r="AK37" i="47"/>
  <c r="I24" i="48"/>
  <c r="H77" i="48" s="1"/>
  <c r="B12" i="19"/>
  <c r="B52" i="9"/>
  <c r="O41" i="22"/>
  <c r="K41" i="23" s="1"/>
  <c r="O41" i="20"/>
  <c r="O41" i="19"/>
  <c r="B33" i="27"/>
  <c r="G37" i="8"/>
  <c r="I19" i="48"/>
  <c r="H72" i="48" s="1"/>
  <c r="G33" i="48"/>
  <c r="I31" i="48"/>
  <c r="M96" i="50"/>
  <c r="K96" i="50"/>
  <c r="L96" i="50"/>
  <c r="O47" i="22"/>
  <c r="K47" i="23" s="1"/>
  <c r="O47" i="20"/>
  <c r="J44" i="69" s="1"/>
  <c r="O47" i="19"/>
  <c r="O42" i="22"/>
  <c r="K42" i="23" s="1"/>
  <c r="O42" i="19"/>
  <c r="O42" i="20"/>
  <c r="M99" i="50"/>
  <c r="L99" i="50"/>
  <c r="K99" i="50"/>
  <c r="G18" i="53"/>
  <c r="E28" i="33"/>
  <c r="G47" i="48"/>
  <c r="S23" i="59"/>
  <c r="T23" i="59" s="1"/>
  <c r="P23" i="59"/>
  <c r="Q23" i="59" s="1"/>
  <c r="G59" i="3"/>
  <c r="L83" i="50"/>
  <c r="G26" i="48"/>
  <c r="I45" i="48"/>
  <c r="I56" i="48"/>
  <c r="D56" i="48" s="1"/>
  <c r="G55" i="48"/>
  <c r="AZ12" i="47"/>
  <c r="AZ54" i="47" s="1"/>
  <c r="T35" i="71"/>
  <c r="T59" i="71" s="1"/>
  <c r="O35" i="20"/>
  <c r="K59" i="3"/>
  <c r="T80" i="9" l="1"/>
  <c r="B10" i="22"/>
  <c r="R10" i="20"/>
  <c r="B29" i="9"/>
  <c r="C45" i="27"/>
  <c r="H13" i="36" s="1"/>
  <c r="C44" i="27"/>
  <c r="H12" i="36" s="1"/>
  <c r="D45" i="27"/>
  <c r="I13" i="36" s="1"/>
  <c r="D44" i="27"/>
  <c r="I12" i="36" s="1"/>
  <c r="G62" i="8"/>
  <c r="I63" i="8"/>
  <c r="G63" i="8" s="1"/>
  <c r="D36" i="27"/>
  <c r="D43" i="27"/>
  <c r="B7" i="22"/>
  <c r="R7" i="20"/>
  <c r="B17" i="34"/>
  <c r="R7" i="19"/>
  <c r="C12" i="33"/>
  <c r="D12" i="33"/>
  <c r="F12" i="33"/>
  <c r="E12" i="33"/>
  <c r="P58" i="8"/>
  <c r="G43" i="8"/>
  <c r="L66" i="8"/>
  <c r="G74" i="48"/>
  <c r="B7" i="27"/>
  <c r="E61" i="69"/>
  <c r="B12" i="33"/>
  <c r="G23" i="48"/>
  <c r="G28" i="48"/>
  <c r="G18" i="48"/>
  <c r="G17" i="48"/>
  <c r="G24" i="48"/>
  <c r="D29" i="36"/>
  <c r="B62" i="27" s="1"/>
  <c r="G53" i="54"/>
  <c r="D28" i="54"/>
  <c r="M33" i="50" s="1"/>
  <c r="G29" i="54"/>
  <c r="B28" i="54"/>
  <c r="K33" i="50" s="1"/>
  <c r="C28" i="54"/>
  <c r="L33" i="50" s="1"/>
  <c r="U19" i="59"/>
  <c r="B58" i="48"/>
  <c r="I42" i="48"/>
  <c r="B19" i="27"/>
  <c r="I53" i="48"/>
  <c r="I43" i="48"/>
  <c r="I48" i="48"/>
  <c r="Q17" i="59"/>
  <c r="Q36" i="59" s="1"/>
  <c r="P36" i="59"/>
  <c r="L106" i="50"/>
  <c r="H17" i="48"/>
  <c r="H23" i="48"/>
  <c r="H18" i="48"/>
  <c r="H28" i="48"/>
  <c r="U20" i="59"/>
  <c r="AI39" i="47"/>
  <c r="AI46" i="47"/>
  <c r="AI35" i="47"/>
  <c r="AI17" i="47"/>
  <c r="AI12" i="47"/>
  <c r="AI27" i="47"/>
  <c r="AI13" i="47"/>
  <c r="AI24" i="47"/>
  <c r="AI40" i="47"/>
  <c r="AI15" i="47"/>
  <c r="AI18" i="47"/>
  <c r="AI14" i="47"/>
  <c r="AI41" i="47"/>
  <c r="AI20" i="47"/>
  <c r="AI49" i="47"/>
  <c r="AI30" i="47"/>
  <c r="AI22" i="47"/>
  <c r="AI21" i="47"/>
  <c r="AI29" i="47"/>
  <c r="AI48" i="47"/>
  <c r="AI44" i="47"/>
  <c r="AI50" i="47"/>
  <c r="AI19" i="47"/>
  <c r="AI42" i="47"/>
  <c r="AI16" i="47"/>
  <c r="C46" i="48"/>
  <c r="M23" i="53"/>
  <c r="O24" i="53"/>
  <c r="K23" i="53"/>
  <c r="L23" i="53"/>
  <c r="H34" i="48"/>
  <c r="C59" i="48" s="1"/>
  <c r="H33" i="48"/>
  <c r="U18" i="59"/>
  <c r="G48" i="48"/>
  <c r="B48" i="48" s="1"/>
  <c r="G43" i="48"/>
  <c r="B43" i="48" s="1"/>
  <c r="G53" i="48"/>
  <c r="G42" i="48"/>
  <c r="G73" i="48"/>
  <c r="AK12" i="47"/>
  <c r="AK19" i="47"/>
  <c r="AK14" i="47"/>
  <c r="AK29" i="47"/>
  <c r="AK40" i="47"/>
  <c r="AK42" i="47"/>
  <c r="AK50" i="47"/>
  <c r="AK20" i="47"/>
  <c r="AK21" i="47"/>
  <c r="AK30" i="47"/>
  <c r="AK44" i="47"/>
  <c r="AK16" i="47"/>
  <c r="AK22" i="47"/>
  <c r="AK41" i="47"/>
  <c r="AK49" i="47"/>
  <c r="AK13" i="47"/>
  <c r="AK15" i="47"/>
  <c r="AK48" i="47"/>
  <c r="AK35" i="47"/>
  <c r="AK46" i="47"/>
  <c r="AK27" i="47"/>
  <c r="AK17" i="47"/>
  <c r="AK18" i="47"/>
  <c r="AK39" i="47"/>
  <c r="O58" i="20"/>
  <c r="B61" i="27"/>
  <c r="D56" i="36"/>
  <c r="G72" i="48"/>
  <c r="D44" i="48"/>
  <c r="T17" i="59"/>
  <c r="S36" i="59"/>
  <c r="B56" i="48"/>
  <c r="K106" i="50"/>
  <c r="M45" i="53"/>
  <c r="I20" i="53" s="1"/>
  <c r="O46" i="53"/>
  <c r="K45" i="53"/>
  <c r="L45" i="53"/>
  <c r="C57" i="48"/>
  <c r="I52" i="48"/>
  <c r="I51" i="48"/>
  <c r="G50" i="21"/>
  <c r="H46" i="21"/>
  <c r="G48" i="21"/>
  <c r="J53" i="21"/>
  <c r="J52" i="21"/>
  <c r="G47" i="21"/>
  <c r="B41" i="54"/>
  <c r="K46" i="50" s="1"/>
  <c r="C41" i="54"/>
  <c r="D41" i="54"/>
  <c r="E59" i="23"/>
  <c r="H32" i="48"/>
  <c r="B6" i="27"/>
  <c r="U23" i="59"/>
  <c r="H53" i="50"/>
  <c r="K39" i="23"/>
  <c r="O58" i="22"/>
  <c r="O59" i="22" s="1"/>
  <c r="U25" i="59"/>
  <c r="B46" i="48"/>
  <c r="D57" i="55"/>
  <c r="Y55" i="55"/>
  <c r="G34" i="48"/>
  <c r="B59" i="48" s="1"/>
  <c r="C45" i="48"/>
  <c r="M106" i="50"/>
  <c r="I44" i="50" s="1"/>
  <c r="C116" i="50" s="1"/>
  <c r="C135" i="50" s="1"/>
  <c r="D54" i="3"/>
  <c r="D82" i="3"/>
  <c r="C50" i="48"/>
  <c r="H24" i="48"/>
  <c r="C49" i="48" s="1"/>
  <c r="H48" i="48"/>
  <c r="C48" i="48" s="1"/>
  <c r="H43" i="48"/>
  <c r="C43" i="48" s="1"/>
  <c r="H42" i="48"/>
  <c r="H53" i="48"/>
  <c r="C53" i="48" s="1"/>
  <c r="I55" i="48"/>
  <c r="D55" i="48" s="1"/>
  <c r="G19" i="54"/>
  <c r="G42" i="54"/>
  <c r="C17" i="54"/>
  <c r="L22" i="50" s="1"/>
  <c r="B17" i="54"/>
  <c r="D17" i="54"/>
  <c r="I47" i="48"/>
  <c r="G50" i="48"/>
  <c r="B50" i="48" s="1"/>
  <c r="B9" i="27"/>
  <c r="I18" i="48"/>
  <c r="H71" i="48" s="1"/>
  <c r="I17" i="48"/>
  <c r="I28" i="48"/>
  <c r="H81" i="48" s="1"/>
  <c r="I23" i="48"/>
  <c r="H76" i="48" s="1"/>
  <c r="I21" i="48"/>
  <c r="H74" i="48" s="1"/>
  <c r="H45" i="50"/>
  <c r="X152" i="3"/>
  <c r="X14" i="3" s="1"/>
  <c r="I77" i="3"/>
  <c r="M77" i="3"/>
  <c r="I20" i="48"/>
  <c r="H73" i="48" s="1"/>
  <c r="D59" i="20"/>
  <c r="B21" i="34"/>
  <c r="G50" i="50"/>
  <c r="H44" i="50"/>
  <c r="B46" i="27"/>
  <c r="C46" i="27" s="1"/>
  <c r="C33" i="27"/>
  <c r="C36" i="27" s="1"/>
  <c r="B12" i="20"/>
  <c r="R12" i="19"/>
  <c r="B19" i="34"/>
  <c r="O59" i="20"/>
  <c r="G25" i="48"/>
  <c r="B47" i="48"/>
  <c r="I57" i="48"/>
  <c r="D57" i="48" s="1"/>
  <c r="I49" i="48"/>
  <c r="L59" i="8"/>
  <c r="G32" i="48"/>
  <c r="B57" i="48" s="1"/>
  <c r="B45" i="48"/>
  <c r="O58" i="19"/>
  <c r="AG6" i="57"/>
  <c r="I50" i="48"/>
  <c r="G19" i="48"/>
  <c r="B44" i="48" s="1"/>
  <c r="G22" i="48"/>
  <c r="D52" i="54"/>
  <c r="M57" i="50" s="1"/>
  <c r="G75" i="54"/>
  <c r="C52" i="54"/>
  <c r="L57" i="50" s="1"/>
  <c r="B52" i="54"/>
  <c r="K57" i="50" s="1"/>
  <c r="B11" i="20"/>
  <c r="B18" i="34"/>
  <c r="R11" i="19"/>
  <c r="B59" i="19"/>
  <c r="U26" i="59"/>
  <c r="B24" i="33"/>
  <c r="K24" i="33" s="1"/>
  <c r="N35" i="71"/>
  <c r="G20" i="48"/>
  <c r="M71" i="53"/>
  <c r="O72" i="53"/>
  <c r="L71" i="53"/>
  <c r="K71" i="53"/>
  <c r="O59" i="19"/>
  <c r="H52" i="50"/>
  <c r="H31" i="48"/>
  <c r="C56" i="48" s="1"/>
  <c r="G49" i="48"/>
  <c r="B49" i="48" s="1"/>
  <c r="H49" i="50"/>
  <c r="AI37" i="47"/>
  <c r="U21" i="59"/>
  <c r="H22" i="48"/>
  <c r="C47" i="48" s="1"/>
  <c r="H58" i="48"/>
  <c r="C58" i="48" s="1"/>
  <c r="H44" i="48"/>
  <c r="C44" i="48" s="1"/>
  <c r="H46" i="50"/>
  <c r="H25" i="48"/>
  <c r="G27" i="48"/>
  <c r="B52" i="48" s="1"/>
  <c r="H52" i="48"/>
  <c r="C52" i="48" s="1"/>
  <c r="G45" i="50"/>
  <c r="G30" i="48"/>
  <c r="B55" i="48" s="1"/>
  <c r="H51" i="48"/>
  <c r="C51" i="48" s="1"/>
  <c r="D39" i="23"/>
  <c r="B10" i="23" l="1"/>
  <c r="R10" i="23" s="1"/>
  <c r="R10" i="22"/>
  <c r="I11" i="36"/>
  <c r="D47" i="27"/>
  <c r="B7" i="23"/>
  <c r="G7" i="22"/>
  <c r="G7" i="23" s="1"/>
  <c r="H14" i="36"/>
  <c r="C47" i="27"/>
  <c r="X2" i="21"/>
  <c r="L63" i="8"/>
  <c r="T1" i="19"/>
  <c r="T2" i="20"/>
  <c r="C8" i="20" s="1"/>
  <c r="L62" i="8"/>
  <c r="G59" i="8"/>
  <c r="B4" i="34"/>
  <c r="B6" i="34" s="1"/>
  <c r="B4" i="33"/>
  <c r="B6" i="33" s="1"/>
  <c r="L24" i="33" s="1"/>
  <c r="D83" i="3"/>
  <c r="B83" i="3"/>
  <c r="C83" i="3"/>
  <c r="V53" i="21"/>
  <c r="J53" i="71"/>
  <c r="D51" i="48"/>
  <c r="G79" i="48"/>
  <c r="O47" i="53"/>
  <c r="M46" i="53"/>
  <c r="K46" i="53"/>
  <c r="G21" i="53" s="1"/>
  <c r="L46" i="53"/>
  <c r="H21" i="53" s="1"/>
  <c r="G42" i="50"/>
  <c r="G57" i="50"/>
  <c r="G59" i="50"/>
  <c r="G58" i="50"/>
  <c r="G56" i="50"/>
  <c r="G55" i="50"/>
  <c r="G51" i="50"/>
  <c r="G47" i="50"/>
  <c r="G48" i="50"/>
  <c r="U17" i="59"/>
  <c r="U36" i="59" s="1"/>
  <c r="T36" i="59"/>
  <c r="G46" i="50"/>
  <c r="M24" i="53"/>
  <c r="O25" i="53"/>
  <c r="L24" i="53"/>
  <c r="K24" i="53"/>
  <c r="G52" i="50"/>
  <c r="D53" i="48"/>
  <c r="G81" i="48"/>
  <c r="D29" i="54"/>
  <c r="M34" i="50" s="1"/>
  <c r="G54" i="54"/>
  <c r="C29" i="54"/>
  <c r="L34" i="50" s="1"/>
  <c r="B29" i="54"/>
  <c r="K34" i="50" s="1"/>
  <c r="D46" i="48"/>
  <c r="I59" i="50"/>
  <c r="I55" i="50"/>
  <c r="I56" i="50"/>
  <c r="I58" i="50"/>
  <c r="I57" i="50"/>
  <c r="B10" i="27"/>
  <c r="I42" i="50"/>
  <c r="I47" i="50"/>
  <c r="C119" i="50" s="1"/>
  <c r="C138" i="50" s="1"/>
  <c r="I48" i="50"/>
  <c r="C120" i="50" s="1"/>
  <c r="C139" i="50" s="1"/>
  <c r="I51" i="50"/>
  <c r="C123" i="50" s="1"/>
  <c r="C142" i="50" s="1"/>
  <c r="B42" i="54"/>
  <c r="K47" i="50" s="1"/>
  <c r="C42" i="54"/>
  <c r="L47" i="50" s="1"/>
  <c r="D42" i="54"/>
  <c r="M47" i="50" s="1"/>
  <c r="D59" i="3"/>
  <c r="I46" i="50"/>
  <c r="C118" i="50" s="1"/>
  <c r="V48" i="21"/>
  <c r="G48" i="71"/>
  <c r="AK54" i="47"/>
  <c r="B42" i="48"/>
  <c r="G60" i="48"/>
  <c r="H58" i="50"/>
  <c r="H42" i="50"/>
  <c r="H59" i="50"/>
  <c r="H56" i="50"/>
  <c r="H55" i="50"/>
  <c r="H57" i="50"/>
  <c r="H51" i="50"/>
  <c r="H47" i="50"/>
  <c r="H48" i="50"/>
  <c r="D50" i="48"/>
  <c r="G78" i="48"/>
  <c r="D49" i="48"/>
  <c r="G77" i="48"/>
  <c r="I50" i="50"/>
  <c r="C122" i="50" s="1"/>
  <c r="H70" i="48"/>
  <c r="H82" i="48" s="1"/>
  <c r="I35" i="48"/>
  <c r="B11" i="22"/>
  <c r="R11" i="20"/>
  <c r="B59" i="20"/>
  <c r="B12" i="22"/>
  <c r="R12" i="20"/>
  <c r="M54" i="3"/>
  <c r="M82" i="3"/>
  <c r="M22" i="50"/>
  <c r="G20" i="54"/>
  <c r="G44" i="54"/>
  <c r="B19" i="54"/>
  <c r="K24" i="50" s="1"/>
  <c r="C19" i="54"/>
  <c r="L24" i="50" s="1"/>
  <c r="D19" i="54"/>
  <c r="M24" i="50" s="1"/>
  <c r="G49" i="50"/>
  <c r="H50" i="50"/>
  <c r="M46" i="50"/>
  <c r="V47" i="21"/>
  <c r="G47" i="71"/>
  <c r="G58" i="21"/>
  <c r="G59" i="21" s="1"/>
  <c r="V46" i="21"/>
  <c r="H46" i="71"/>
  <c r="H58" i="21"/>
  <c r="H59" i="21" s="1"/>
  <c r="H20" i="53"/>
  <c r="I52" i="50"/>
  <c r="C124" i="50" s="1"/>
  <c r="C143" i="50" s="1"/>
  <c r="G53" i="50"/>
  <c r="B53" i="48"/>
  <c r="I49" i="50"/>
  <c r="C121" i="50" s="1"/>
  <c r="C140" i="50" s="1"/>
  <c r="H35" i="48"/>
  <c r="H43" i="50"/>
  <c r="D48" i="48"/>
  <c r="G76" i="48"/>
  <c r="D42" i="48"/>
  <c r="I60" i="48"/>
  <c r="G70" i="48"/>
  <c r="D53" i="54"/>
  <c r="M58" i="50" s="1"/>
  <c r="B53" i="54"/>
  <c r="K58" i="50" s="1"/>
  <c r="G76" i="54"/>
  <c r="C53" i="54"/>
  <c r="L58" i="50" s="1"/>
  <c r="G35" i="48"/>
  <c r="G44" i="50"/>
  <c r="D58" i="23"/>
  <c r="D59" i="23" s="1"/>
  <c r="H14" i="33"/>
  <c r="K14" i="33" s="1"/>
  <c r="M72" i="53"/>
  <c r="O73" i="53"/>
  <c r="K72" i="53"/>
  <c r="L72" i="53"/>
  <c r="I53" i="50"/>
  <c r="C125" i="50" s="1"/>
  <c r="C144" i="50" s="1"/>
  <c r="I54" i="3"/>
  <c r="I82" i="3"/>
  <c r="D47" i="48"/>
  <c r="G75" i="48"/>
  <c r="K22" i="50"/>
  <c r="H60" i="48"/>
  <c r="C42" i="48"/>
  <c r="I43" i="50"/>
  <c r="C115" i="50" s="1"/>
  <c r="C134" i="50" s="1"/>
  <c r="H12" i="33"/>
  <c r="K58" i="23"/>
  <c r="K59" i="23" s="1"/>
  <c r="L46" i="50"/>
  <c r="V52" i="21"/>
  <c r="J58" i="21"/>
  <c r="J59" i="21" s="1"/>
  <c r="J52" i="71"/>
  <c r="V50" i="21"/>
  <c r="G50" i="71"/>
  <c r="D52" i="48"/>
  <c r="G80" i="48"/>
  <c r="G20" i="53"/>
  <c r="G43" i="50"/>
  <c r="D45" i="48"/>
  <c r="I45" i="50"/>
  <c r="C117" i="50" s="1"/>
  <c r="C136" i="50" s="1"/>
  <c r="AI54" i="47"/>
  <c r="G71" i="48"/>
  <c r="D43" i="48"/>
  <c r="B17" i="33" l="1"/>
  <c r="Z10" i="23"/>
  <c r="AG10" i="57"/>
  <c r="R7" i="23"/>
  <c r="AG7" i="57" s="1"/>
  <c r="AB56" i="57" s="1"/>
  <c r="R7" i="22"/>
  <c r="Z7" i="23"/>
  <c r="I59" i="3"/>
  <c r="I32" i="3" s="1"/>
  <c r="D44" i="54"/>
  <c r="B44" i="54"/>
  <c r="C44" i="54"/>
  <c r="M83" i="3"/>
  <c r="K83" i="3"/>
  <c r="L83" i="3"/>
  <c r="H60" i="50"/>
  <c r="B60" i="48"/>
  <c r="D54" i="54"/>
  <c r="M59" i="50" s="1"/>
  <c r="C54" i="54"/>
  <c r="L59" i="50" s="1"/>
  <c r="G77" i="54"/>
  <c r="B54" i="54"/>
  <c r="K59" i="50" s="1"/>
  <c r="J53" i="20"/>
  <c r="J53" i="19"/>
  <c r="L13" i="33"/>
  <c r="L16" i="33"/>
  <c r="G50" i="20"/>
  <c r="G50" i="19"/>
  <c r="C60" i="48"/>
  <c r="G82" i="48"/>
  <c r="M59" i="3"/>
  <c r="K32" i="3" s="1"/>
  <c r="C114" i="50"/>
  <c r="I60" i="50"/>
  <c r="C5" i="67"/>
  <c r="C5" i="36"/>
  <c r="K12" i="33"/>
  <c r="L12" i="33" s="1"/>
  <c r="G58" i="71"/>
  <c r="G59" i="71" s="1"/>
  <c r="G47" i="20"/>
  <c r="G47" i="19"/>
  <c r="I21" i="53"/>
  <c r="O74" i="53"/>
  <c r="M73" i="53"/>
  <c r="K73" i="53"/>
  <c r="L73" i="53"/>
  <c r="V60" i="21"/>
  <c r="G45" i="54"/>
  <c r="G21" i="54"/>
  <c r="B20" i="54"/>
  <c r="C20" i="54"/>
  <c r="L25" i="50" s="1"/>
  <c r="D20" i="54"/>
  <c r="M25" i="50" s="1"/>
  <c r="J52" i="19"/>
  <c r="J58" i="71"/>
  <c r="J59" i="71" s="1"/>
  <c r="J52" i="20"/>
  <c r="D60" i="48"/>
  <c r="H46" i="20"/>
  <c r="H46" i="19"/>
  <c r="H58" i="71"/>
  <c r="H59" i="71" s="1"/>
  <c r="G48" i="20"/>
  <c r="G48" i="19"/>
  <c r="D60" i="3"/>
  <c r="G28" i="3"/>
  <c r="G19" i="3"/>
  <c r="G27" i="3"/>
  <c r="G20" i="3"/>
  <c r="G30" i="3"/>
  <c r="B60" i="3"/>
  <c r="G33" i="3"/>
  <c r="G26" i="3"/>
  <c r="C60" i="3"/>
  <c r="G23" i="3"/>
  <c r="G21" i="3"/>
  <c r="G22" i="3"/>
  <c r="G35" i="3"/>
  <c r="G29" i="3"/>
  <c r="G25" i="3"/>
  <c r="G36" i="3"/>
  <c r="G24" i="3"/>
  <c r="G34" i="3"/>
  <c r="D8" i="27"/>
  <c r="I83" i="3"/>
  <c r="H83" i="3"/>
  <c r="G83" i="3"/>
  <c r="L14" i="33"/>
  <c r="V58" i="21"/>
  <c r="V59" i="21" s="1"/>
  <c r="B9" i="34" s="1"/>
  <c r="B12" i="23"/>
  <c r="R12" i="22"/>
  <c r="B11" i="23"/>
  <c r="R11" i="22"/>
  <c r="B59" i="22"/>
  <c r="G32" i="3"/>
  <c r="O26" i="53"/>
  <c r="M25" i="53"/>
  <c r="L25" i="53"/>
  <c r="K25" i="53"/>
  <c r="G60" i="50"/>
  <c r="O48" i="53"/>
  <c r="M47" i="53"/>
  <c r="I22" i="53" s="1"/>
  <c r="L47" i="53"/>
  <c r="K47" i="53"/>
  <c r="G22" i="53" s="1"/>
  <c r="H15" i="46"/>
  <c r="T2" i="22"/>
  <c r="Z11" i="23" l="1"/>
  <c r="R11" i="23"/>
  <c r="Z12" i="23"/>
  <c r="R12" i="23"/>
  <c r="X3" i="21"/>
  <c r="H22" i="53"/>
  <c r="G37" i="3"/>
  <c r="J58" i="20"/>
  <c r="J59" i="20" s="1"/>
  <c r="L49" i="69"/>
  <c r="M49" i="69" s="1"/>
  <c r="J52" i="22" s="1"/>
  <c r="D45" i="54"/>
  <c r="M50" i="50" s="1"/>
  <c r="C45" i="54"/>
  <c r="L50" i="50" s="1"/>
  <c r="B45" i="54"/>
  <c r="K50" i="50" s="1"/>
  <c r="O75" i="53"/>
  <c r="M74" i="53"/>
  <c r="K74" i="53"/>
  <c r="L74" i="53"/>
  <c r="G58" i="20"/>
  <c r="G59" i="20" s="1"/>
  <c r="L44" i="69"/>
  <c r="C133" i="50"/>
  <c r="C126" i="50"/>
  <c r="L50" i="69"/>
  <c r="L49" i="50"/>
  <c r="K49" i="50"/>
  <c r="M48" i="53"/>
  <c r="I23" i="53" s="1"/>
  <c r="O49" i="53"/>
  <c r="L48" i="53"/>
  <c r="H23" i="53" s="1"/>
  <c r="K48" i="53"/>
  <c r="G23" i="53" s="1"/>
  <c r="J17" i="33"/>
  <c r="K17" i="33" s="1"/>
  <c r="L17" i="33" s="1"/>
  <c r="B59" i="23"/>
  <c r="H58" i="19"/>
  <c r="H59" i="19" s="1"/>
  <c r="J58" i="19"/>
  <c r="J59" i="19" s="1"/>
  <c r="K25" i="50"/>
  <c r="M49" i="50"/>
  <c r="L45" i="69"/>
  <c r="J62" i="71"/>
  <c r="T2" i="23"/>
  <c r="W1" i="71"/>
  <c r="O27" i="53"/>
  <c r="M26" i="53"/>
  <c r="L26" i="53"/>
  <c r="K26" i="53"/>
  <c r="D12" i="27"/>
  <c r="E14" i="27" s="1"/>
  <c r="L43" i="69"/>
  <c r="H58" i="20"/>
  <c r="H59" i="20" s="1"/>
  <c r="G22" i="54"/>
  <c r="G46" i="54"/>
  <c r="D21" i="54"/>
  <c r="C21" i="54"/>
  <c r="L26" i="50" s="1"/>
  <c r="B21" i="54"/>
  <c r="K26" i="50" s="1"/>
  <c r="G58" i="19"/>
  <c r="G59" i="19" s="1"/>
  <c r="M60" i="3"/>
  <c r="B8" i="27"/>
  <c r="K19" i="3"/>
  <c r="K20" i="3"/>
  <c r="K60" i="3"/>
  <c r="K36" i="3"/>
  <c r="K35" i="3"/>
  <c r="K25" i="3"/>
  <c r="L60" i="3"/>
  <c r="K34" i="3"/>
  <c r="K28" i="3"/>
  <c r="K24" i="3"/>
  <c r="K26" i="3"/>
  <c r="K29" i="3"/>
  <c r="K22" i="3"/>
  <c r="K33" i="3"/>
  <c r="K27" i="3"/>
  <c r="K23" i="3"/>
  <c r="K21" i="3"/>
  <c r="K30" i="3"/>
  <c r="L47" i="69"/>
  <c r="M47" i="69" s="1"/>
  <c r="G50" i="22" s="1"/>
  <c r="R8" i="20"/>
  <c r="C8" i="22"/>
  <c r="C8" i="23" s="1"/>
  <c r="C59" i="20"/>
  <c r="I60" i="3"/>
  <c r="I36" i="3"/>
  <c r="I29" i="3"/>
  <c r="I26" i="3"/>
  <c r="I30" i="3"/>
  <c r="I35" i="3"/>
  <c r="I19" i="3"/>
  <c r="I21" i="3"/>
  <c r="H60" i="3"/>
  <c r="I23" i="3"/>
  <c r="I22" i="3"/>
  <c r="I20" i="3"/>
  <c r="I28" i="3"/>
  <c r="I24" i="3"/>
  <c r="I25" i="3"/>
  <c r="I34" i="3"/>
  <c r="G60" i="3"/>
  <c r="I27" i="3"/>
  <c r="I33" i="3"/>
  <c r="C7" i="46" l="1"/>
  <c r="X4" i="21"/>
  <c r="M50" i="69"/>
  <c r="J53" i="22" s="1"/>
  <c r="M45" i="69"/>
  <c r="G48" i="22" s="1"/>
  <c r="M44" i="69"/>
  <c r="G47" i="22" s="1"/>
  <c r="M49" i="53"/>
  <c r="I24" i="53" s="1"/>
  <c r="O50" i="53"/>
  <c r="K49" i="53"/>
  <c r="G24" i="53" s="1"/>
  <c r="L49" i="53"/>
  <c r="H24" i="53" s="1"/>
  <c r="M75" i="53"/>
  <c r="O76" i="53"/>
  <c r="L75" i="53"/>
  <c r="K75" i="53"/>
  <c r="G50" i="23"/>
  <c r="AG11" i="57"/>
  <c r="AB58" i="57" s="1"/>
  <c r="AG12" i="57"/>
  <c r="G11" i="33"/>
  <c r="G47" i="54"/>
  <c r="G23" i="54"/>
  <c r="C22" i="54"/>
  <c r="L27" i="50" s="1"/>
  <c r="B22" i="54"/>
  <c r="K27" i="50" s="1"/>
  <c r="D22" i="54"/>
  <c r="M27" i="50" s="1"/>
  <c r="E10" i="27"/>
  <c r="E11" i="27"/>
  <c r="E7" i="27"/>
  <c r="E9" i="27"/>
  <c r="E6" i="27"/>
  <c r="E15" i="27"/>
  <c r="C8" i="27"/>
  <c r="C16" i="27"/>
  <c r="C14" i="27"/>
  <c r="B12" i="27"/>
  <c r="M26" i="50"/>
  <c r="M43" i="69"/>
  <c r="L57" i="69"/>
  <c r="E8" i="27"/>
  <c r="G52" i="23"/>
  <c r="I37" i="3"/>
  <c r="B20" i="34"/>
  <c r="B61" i="20"/>
  <c r="K37" i="3"/>
  <c r="C59" i="22"/>
  <c r="C46" i="54"/>
  <c r="B46" i="54"/>
  <c r="D46" i="54"/>
  <c r="E16" i="27"/>
  <c r="M27" i="53"/>
  <c r="O28" i="53"/>
  <c r="L27" i="53"/>
  <c r="K27" i="53"/>
  <c r="C9" i="46" l="1"/>
  <c r="C12" i="46" s="1"/>
  <c r="C18" i="46"/>
  <c r="E7" i="46"/>
  <c r="G53" i="23"/>
  <c r="F28" i="33" s="1"/>
  <c r="J58" i="22"/>
  <c r="J59" i="22" s="1"/>
  <c r="G47" i="23"/>
  <c r="G58" i="22"/>
  <c r="G48" i="23"/>
  <c r="L51" i="50"/>
  <c r="M28" i="53"/>
  <c r="O30" i="53"/>
  <c r="K28" i="53"/>
  <c r="L28" i="53"/>
  <c r="K51" i="50"/>
  <c r="D30" i="54"/>
  <c r="G32" i="33"/>
  <c r="E12" i="27"/>
  <c r="G48" i="54"/>
  <c r="D23" i="54"/>
  <c r="M28" i="50" s="1"/>
  <c r="B23" i="54"/>
  <c r="C23" i="54"/>
  <c r="L28" i="50" s="1"/>
  <c r="M76" i="53"/>
  <c r="O78" i="53"/>
  <c r="L76" i="53"/>
  <c r="K76" i="53"/>
  <c r="C59" i="23"/>
  <c r="J15" i="33"/>
  <c r="K15" i="33" s="1"/>
  <c r="L15" i="33" s="1"/>
  <c r="O51" i="53"/>
  <c r="M50" i="53"/>
  <c r="I25" i="53" s="1"/>
  <c r="K50" i="53"/>
  <c r="G25" i="53" s="1"/>
  <c r="L50" i="53"/>
  <c r="C47" i="54"/>
  <c r="L52" i="50" s="1"/>
  <c r="B47" i="54"/>
  <c r="K52" i="50" s="1"/>
  <c r="D47" i="54"/>
  <c r="M52" i="50" s="1"/>
  <c r="M51" i="50"/>
  <c r="M57" i="69"/>
  <c r="H46" i="22"/>
  <c r="C11" i="27"/>
  <c r="C15" i="27"/>
  <c r="C9" i="27"/>
  <c r="C7" i="27"/>
  <c r="C6" i="27"/>
  <c r="C10" i="27"/>
  <c r="W2" i="20" l="1"/>
  <c r="W3" i="20" s="1"/>
  <c r="H25" i="46"/>
  <c r="H26" i="46" s="1"/>
  <c r="C24" i="46"/>
  <c r="E24" i="46" s="1"/>
  <c r="X1" i="19"/>
  <c r="X2" i="19" s="1"/>
  <c r="E18" i="46"/>
  <c r="B16" i="34"/>
  <c r="B22" i="34" s="1"/>
  <c r="B26" i="34" s="1"/>
  <c r="B11" i="34"/>
  <c r="E9" i="46"/>
  <c r="H25" i="53"/>
  <c r="C48" i="54"/>
  <c r="L53" i="50" s="1"/>
  <c r="H28" i="50" s="1"/>
  <c r="C53" i="50" s="1"/>
  <c r="B48" i="54"/>
  <c r="D48" i="54"/>
  <c r="L35" i="50"/>
  <c r="H27" i="50" s="1"/>
  <c r="C52" i="50" s="1"/>
  <c r="C55" i="54"/>
  <c r="C12" i="27"/>
  <c r="H58" i="22"/>
  <c r="H59" i="22" s="1"/>
  <c r="G46" i="23"/>
  <c r="O52" i="53"/>
  <c r="M51" i="53"/>
  <c r="I26" i="53" s="1"/>
  <c r="K51" i="53"/>
  <c r="G26" i="53" s="1"/>
  <c r="L51" i="53"/>
  <c r="H26" i="53" s="1"/>
  <c r="M78" i="53"/>
  <c r="O79" i="53"/>
  <c r="K78" i="53"/>
  <c r="L78" i="53"/>
  <c r="M30" i="53"/>
  <c r="O31" i="53"/>
  <c r="L30" i="53"/>
  <c r="K30" i="53"/>
  <c r="M35" i="50"/>
  <c r="K28" i="50"/>
  <c r="B30" i="54"/>
  <c r="L60" i="50"/>
  <c r="H26" i="50" s="1"/>
  <c r="C51" i="50" s="1"/>
  <c r="B23" i="34" l="1"/>
  <c r="B14" i="34"/>
  <c r="B25" i="34" s="1"/>
  <c r="E1" i="36" s="1"/>
  <c r="E12" i="46"/>
  <c r="H57" i="55"/>
  <c r="C26" i="46"/>
  <c r="E26" i="46" s="1"/>
  <c r="M53" i="50"/>
  <c r="D55" i="54"/>
  <c r="K53" i="50"/>
  <c r="K60" i="50" s="1"/>
  <c r="B55" i="54"/>
  <c r="G28" i="50"/>
  <c r="B53" i="50" s="1"/>
  <c r="K35" i="50"/>
  <c r="O32" i="53"/>
  <c r="M31" i="53"/>
  <c r="K31" i="53"/>
  <c r="L31" i="53"/>
  <c r="O80" i="53"/>
  <c r="M79" i="53"/>
  <c r="L79" i="53"/>
  <c r="K79" i="53"/>
  <c r="D28" i="33"/>
  <c r="G58" i="23"/>
  <c r="H35" i="50"/>
  <c r="H20" i="50"/>
  <c r="C45" i="50" s="1"/>
  <c r="H18" i="50"/>
  <c r="C43" i="50" s="1"/>
  <c r="H19" i="50"/>
  <c r="C44" i="50" s="1"/>
  <c r="H31" i="50"/>
  <c r="C56" i="50" s="1"/>
  <c r="H23" i="50"/>
  <c r="C48" i="50" s="1"/>
  <c r="H30" i="50"/>
  <c r="C55" i="50" s="1"/>
  <c r="H17" i="50"/>
  <c r="C42" i="50" s="1"/>
  <c r="H32" i="50"/>
  <c r="C57" i="50" s="1"/>
  <c r="H22" i="50"/>
  <c r="C47" i="50" s="1"/>
  <c r="H21" i="50"/>
  <c r="C46" i="50" s="1"/>
  <c r="H33" i="50"/>
  <c r="C58" i="50" s="1"/>
  <c r="H34" i="50"/>
  <c r="C59" i="50" s="1"/>
  <c r="H25" i="50"/>
  <c r="C50" i="50" s="1"/>
  <c r="H24" i="50"/>
  <c r="C49" i="50" s="1"/>
  <c r="M52" i="53"/>
  <c r="I27" i="53" s="1"/>
  <c r="O53" i="53"/>
  <c r="L52" i="53"/>
  <c r="H27" i="53" s="1"/>
  <c r="K52" i="53"/>
  <c r="G27" i="53" s="1"/>
  <c r="D24" i="36" l="1"/>
  <c r="D26" i="36"/>
  <c r="D20" i="36"/>
  <c r="D32" i="36"/>
  <c r="D33" i="36"/>
  <c r="D23" i="36"/>
  <c r="D39" i="36"/>
  <c r="D27" i="36"/>
  <c r="D31" i="36"/>
  <c r="D25" i="36"/>
  <c r="M60" i="50"/>
  <c r="M53" i="53"/>
  <c r="I28" i="53" s="1"/>
  <c r="O55" i="53"/>
  <c r="K53" i="53"/>
  <c r="G28" i="53" s="1"/>
  <c r="L53" i="53"/>
  <c r="H28" i="53" s="1"/>
  <c r="M32" i="53"/>
  <c r="O33" i="53"/>
  <c r="L32" i="53"/>
  <c r="K32" i="53"/>
  <c r="M80" i="53"/>
  <c r="O81" i="53"/>
  <c r="L80" i="53"/>
  <c r="K80" i="53"/>
  <c r="C60" i="50"/>
  <c r="G30" i="50"/>
  <c r="G20" i="50"/>
  <c r="B45" i="50" s="1"/>
  <c r="G31" i="50"/>
  <c r="G23" i="50"/>
  <c r="B48" i="50" s="1"/>
  <c r="G18" i="50"/>
  <c r="B43" i="50" s="1"/>
  <c r="G19" i="50"/>
  <c r="B44" i="50" s="1"/>
  <c r="G17" i="50"/>
  <c r="G32" i="50"/>
  <c r="G21" i="50"/>
  <c r="B46" i="50" s="1"/>
  <c r="G33" i="50"/>
  <c r="G22" i="50"/>
  <c r="B47" i="50" s="1"/>
  <c r="G34" i="50"/>
  <c r="G24" i="50"/>
  <c r="B49" i="50" s="1"/>
  <c r="G25" i="50"/>
  <c r="B50" i="50" s="1"/>
  <c r="G27" i="50"/>
  <c r="B52" i="50" s="1"/>
  <c r="G26" i="50"/>
  <c r="B51" i="50" s="1"/>
  <c r="D57" i="36" l="1"/>
  <c r="B3" i="47"/>
  <c r="B63" i="27"/>
  <c r="C9" i="56"/>
  <c r="D59" i="36"/>
  <c r="D42" i="36"/>
  <c r="E2" i="36" s="1"/>
  <c r="F1" i="36" s="1"/>
  <c r="B56" i="27"/>
  <c r="D53" i="36"/>
  <c r="B55" i="27"/>
  <c r="D11" i="3"/>
  <c r="B57" i="27"/>
  <c r="C5" i="49"/>
  <c r="B58" i="27"/>
  <c r="C9" i="50"/>
  <c r="B20" i="50" s="1"/>
  <c r="D55" i="36"/>
  <c r="B60" i="27"/>
  <c r="D9" i="53"/>
  <c r="D58" i="36"/>
  <c r="E9" i="48"/>
  <c r="B59" i="27"/>
  <c r="D54" i="36"/>
  <c r="O82" i="53"/>
  <c r="M81" i="53"/>
  <c r="K81" i="53"/>
  <c r="L81" i="53"/>
  <c r="B20" i="27"/>
  <c r="C19" i="27" s="1"/>
  <c r="C20" i="27" s="1"/>
  <c r="I23" i="50"/>
  <c r="I32" i="50"/>
  <c r="D57" i="50" s="1"/>
  <c r="I22" i="50"/>
  <c r="I26" i="50"/>
  <c r="I18" i="50"/>
  <c r="I31" i="50"/>
  <c r="D56" i="50" s="1"/>
  <c r="I21" i="50"/>
  <c r="I25" i="50"/>
  <c r="I27" i="50"/>
  <c r="I30" i="50"/>
  <c r="D55" i="50" s="1"/>
  <c r="I20" i="50"/>
  <c r="I33" i="50"/>
  <c r="D58" i="50" s="1"/>
  <c r="I24" i="50"/>
  <c r="I19" i="50"/>
  <c r="I17" i="50"/>
  <c r="I34" i="50"/>
  <c r="D59" i="50" s="1"/>
  <c r="B58" i="50"/>
  <c r="B55" i="50"/>
  <c r="O34" i="53"/>
  <c r="M33" i="53"/>
  <c r="K33" i="53"/>
  <c r="L33" i="53"/>
  <c r="O56" i="53"/>
  <c r="M55" i="53"/>
  <c r="I30" i="53" s="1"/>
  <c r="K55" i="53"/>
  <c r="G30" i="53" s="1"/>
  <c r="L55" i="53"/>
  <c r="H30" i="53" s="1"/>
  <c r="B59" i="50"/>
  <c r="B57" i="50"/>
  <c r="B42" i="50"/>
  <c r="G35" i="50"/>
  <c r="B56" i="50"/>
  <c r="I28" i="50"/>
  <c r="B34" i="50" l="1"/>
  <c r="B23" i="50"/>
  <c r="B22" i="50"/>
  <c r="B33" i="50"/>
  <c r="B27" i="50"/>
  <c r="B31" i="50"/>
  <c r="B32" i="50"/>
  <c r="B30" i="50"/>
  <c r="B18" i="50"/>
  <c r="B25" i="50"/>
  <c r="C25" i="49"/>
  <c r="B23" i="49"/>
  <c r="B27" i="49"/>
  <c r="C12" i="49"/>
  <c r="C20" i="49"/>
  <c r="C27" i="49"/>
  <c r="C21" i="49"/>
  <c r="B13" i="49"/>
  <c r="D26" i="49"/>
  <c r="D18" i="49"/>
  <c r="D16" i="49"/>
  <c r="D21" i="49"/>
  <c r="B17" i="49"/>
  <c r="B14" i="49"/>
  <c r="C17" i="49"/>
  <c r="C18" i="49"/>
  <c r="B28" i="49"/>
  <c r="C22" i="49"/>
  <c r="C29" i="49"/>
  <c r="C26" i="49"/>
  <c r="B26" i="49"/>
  <c r="D12" i="49"/>
  <c r="D23" i="49"/>
  <c r="D17" i="49"/>
  <c r="D15" i="49"/>
  <c r="B12" i="49"/>
  <c r="B15" i="49"/>
  <c r="B20" i="49"/>
  <c r="B21" i="49"/>
  <c r="B16" i="49"/>
  <c r="C13" i="49"/>
  <c r="B25" i="49"/>
  <c r="C16" i="49"/>
  <c r="C19" i="49"/>
  <c r="D25" i="49"/>
  <c r="D20" i="49"/>
  <c r="D27" i="49"/>
  <c r="D13" i="49"/>
  <c r="B29" i="49"/>
  <c r="C14" i="49"/>
  <c r="C23" i="49"/>
  <c r="C15" i="49"/>
  <c r="B19" i="49"/>
  <c r="C28" i="49"/>
  <c r="B22" i="49"/>
  <c r="B18" i="49"/>
  <c r="D22" i="49"/>
  <c r="D28" i="49"/>
  <c r="D29" i="49"/>
  <c r="D14" i="49"/>
  <c r="D19" i="49"/>
  <c r="B23" i="3"/>
  <c r="B28" i="3"/>
  <c r="B33" i="3"/>
  <c r="B19" i="3"/>
  <c r="B32" i="3"/>
  <c r="C34" i="3"/>
  <c r="D30" i="3"/>
  <c r="D33" i="3"/>
  <c r="C25" i="3"/>
  <c r="C33" i="3"/>
  <c r="D25" i="3"/>
  <c r="C29" i="3"/>
  <c r="C21" i="3"/>
  <c r="B35" i="3"/>
  <c r="B22" i="3"/>
  <c r="B30" i="3"/>
  <c r="B20" i="3"/>
  <c r="D35" i="3"/>
  <c r="D23" i="3"/>
  <c r="D36" i="3"/>
  <c r="D22" i="3"/>
  <c r="D34" i="3"/>
  <c r="D19" i="3"/>
  <c r="C22" i="3"/>
  <c r="C30" i="3"/>
  <c r="D32" i="3"/>
  <c r="B36" i="3"/>
  <c r="B21" i="3"/>
  <c r="C32" i="3"/>
  <c r="B27" i="3"/>
  <c r="C36" i="3"/>
  <c r="D20" i="3"/>
  <c r="D28" i="3"/>
  <c r="C19" i="3"/>
  <c r="D27" i="3"/>
  <c r="C35" i="3"/>
  <c r="C28" i="3"/>
  <c r="D26" i="3"/>
  <c r="B24" i="3"/>
  <c r="B25" i="3"/>
  <c r="B26" i="3"/>
  <c r="B34" i="3"/>
  <c r="B29" i="3"/>
  <c r="D21" i="3"/>
  <c r="C20" i="3"/>
  <c r="C23" i="3"/>
  <c r="D24" i="3"/>
  <c r="C24" i="3"/>
  <c r="C26" i="3"/>
  <c r="D29" i="3"/>
  <c r="C27" i="3"/>
  <c r="B21" i="50"/>
  <c r="D13" i="47"/>
  <c r="E14" i="55" s="1"/>
  <c r="D40" i="47"/>
  <c r="E41" i="55" s="1"/>
  <c r="O45" i="71" s="1"/>
  <c r="D44" i="47"/>
  <c r="E45" i="55" s="1"/>
  <c r="D50" i="47"/>
  <c r="E51" i="55" s="1"/>
  <c r="B13" i="47"/>
  <c r="C46" i="47"/>
  <c r="B22" i="47"/>
  <c r="B35" i="47"/>
  <c r="C13" i="47"/>
  <c r="D42" i="47"/>
  <c r="E43" i="55" s="1"/>
  <c r="C29" i="47"/>
  <c r="C25" i="47"/>
  <c r="B41" i="47"/>
  <c r="B12" i="47"/>
  <c r="D28" i="47"/>
  <c r="E29" i="55" s="1"/>
  <c r="B38" i="47"/>
  <c r="B47" i="47"/>
  <c r="B52" i="47"/>
  <c r="D16" i="47"/>
  <c r="E17" i="55" s="1"/>
  <c r="D39" i="47"/>
  <c r="E40" i="55" s="1"/>
  <c r="C16" i="47"/>
  <c r="B18" i="47"/>
  <c r="B24" i="47"/>
  <c r="C48" i="47"/>
  <c r="B20" i="47"/>
  <c r="B48" i="47"/>
  <c r="C12" i="47"/>
  <c r="D12" i="47"/>
  <c r="D19" i="47"/>
  <c r="E20" i="55" s="1"/>
  <c r="D41" i="47"/>
  <c r="E42" i="55" s="1"/>
  <c r="D51" i="47"/>
  <c r="E52" i="55" s="1"/>
  <c r="D29" i="47"/>
  <c r="E30" i="55" s="1"/>
  <c r="B44" i="47"/>
  <c r="C14" i="47"/>
  <c r="B30" i="47"/>
  <c r="C15" i="47"/>
  <c r="C21" i="47"/>
  <c r="D38" i="47"/>
  <c r="E39" i="55" s="1"/>
  <c r="B16" i="47"/>
  <c r="B28" i="47"/>
  <c r="C24" i="47"/>
  <c r="D14" i="47"/>
  <c r="E15" i="55" s="1"/>
  <c r="D46" i="47"/>
  <c r="E47" i="55" s="1"/>
  <c r="O51" i="71" s="1"/>
  <c r="B39" i="47"/>
  <c r="B36" i="47"/>
  <c r="C49" i="47"/>
  <c r="D20" i="47"/>
  <c r="E21" i="55" s="1"/>
  <c r="C17" i="47"/>
  <c r="C50" i="47"/>
  <c r="C47" i="47"/>
  <c r="B26" i="47"/>
  <c r="B25" i="47"/>
  <c r="B45" i="47"/>
  <c r="C45" i="47"/>
  <c r="C30" i="47"/>
  <c r="D15" i="47"/>
  <c r="E16" i="55" s="1"/>
  <c r="D25" i="47"/>
  <c r="E26" i="55" s="1"/>
  <c r="D48" i="47"/>
  <c r="E49" i="55" s="1"/>
  <c r="D26" i="47"/>
  <c r="E27" i="55" s="1"/>
  <c r="D45" i="47"/>
  <c r="E46" i="55" s="1"/>
  <c r="B14" i="47"/>
  <c r="B15" i="47"/>
  <c r="B37" i="47"/>
  <c r="C43" i="47"/>
  <c r="D21" i="47"/>
  <c r="E22" i="55" s="1"/>
  <c r="D47" i="47"/>
  <c r="E48" i="55" s="1"/>
  <c r="B50" i="47"/>
  <c r="C41" i="47"/>
  <c r="B46" i="47"/>
  <c r="D30" i="47"/>
  <c r="E31" i="55" s="1"/>
  <c r="C42" i="47"/>
  <c r="C20" i="47"/>
  <c r="C44" i="47"/>
  <c r="B42" i="47"/>
  <c r="D43" i="47"/>
  <c r="E44" i="55" s="1"/>
  <c r="C18" i="47"/>
  <c r="B19" i="47"/>
  <c r="B27" i="47"/>
  <c r="B49" i="47"/>
  <c r="B29" i="47"/>
  <c r="D17" i="47"/>
  <c r="E18" i="55" s="1"/>
  <c r="C36" i="47"/>
  <c r="D22" i="47"/>
  <c r="E23" i="55" s="1"/>
  <c r="D18" i="47"/>
  <c r="E19" i="55" s="1"/>
  <c r="D36" i="47"/>
  <c r="E37" i="55" s="1"/>
  <c r="D27" i="47"/>
  <c r="E28" i="55" s="1"/>
  <c r="D35" i="47"/>
  <c r="E36" i="55" s="1"/>
  <c r="D52" i="47"/>
  <c r="E53" i="55" s="1"/>
  <c r="C38" i="47"/>
  <c r="B51" i="47"/>
  <c r="C37" i="47"/>
  <c r="B23" i="47"/>
  <c r="D37" i="47"/>
  <c r="E38" i="55" s="1"/>
  <c r="C39" i="47"/>
  <c r="B17" i="47"/>
  <c r="C51" i="47"/>
  <c r="B40" i="47"/>
  <c r="D23" i="47"/>
  <c r="E24" i="55" s="1"/>
  <c r="C52" i="47"/>
  <c r="C40" i="47"/>
  <c r="C23" i="47"/>
  <c r="B21" i="47"/>
  <c r="D24" i="47"/>
  <c r="E25" i="55" s="1"/>
  <c r="B43" i="47"/>
  <c r="C35" i="47"/>
  <c r="C28" i="47"/>
  <c r="D49" i="47"/>
  <c r="E50" i="55" s="1"/>
  <c r="C19" i="47"/>
  <c r="C26" i="47"/>
  <c r="C27" i="47"/>
  <c r="C22" i="47"/>
  <c r="B24" i="50"/>
  <c r="B26" i="48"/>
  <c r="B30" i="48"/>
  <c r="B23" i="48"/>
  <c r="D19" i="48"/>
  <c r="B20" i="48"/>
  <c r="B32" i="48"/>
  <c r="B19" i="48"/>
  <c r="C33" i="48"/>
  <c r="C23" i="48"/>
  <c r="D31" i="48"/>
  <c r="N27" i="55" s="1"/>
  <c r="C34" i="48"/>
  <c r="B31" i="48"/>
  <c r="C19" i="48"/>
  <c r="B33" i="48"/>
  <c r="C18" i="48"/>
  <c r="C22" i="48"/>
  <c r="B34" i="48"/>
  <c r="D32" i="48"/>
  <c r="C29" i="48"/>
  <c r="D34" i="48"/>
  <c r="N30" i="55" s="1"/>
  <c r="C24" i="48"/>
  <c r="C25" i="48"/>
  <c r="D30" i="48"/>
  <c r="N26" i="55" s="1"/>
  <c r="B18" i="48"/>
  <c r="B21" i="48"/>
  <c r="C31" i="48"/>
  <c r="C32" i="48"/>
  <c r="C30" i="48"/>
  <c r="D33" i="48"/>
  <c r="N29" i="55" s="1"/>
  <c r="B25" i="48"/>
  <c r="B22" i="48"/>
  <c r="C20" i="48"/>
  <c r="B27" i="48"/>
  <c r="C26" i="48"/>
  <c r="C27" i="48"/>
  <c r="B24" i="48"/>
  <c r="C21" i="48"/>
  <c r="D24" i="48"/>
  <c r="D26" i="48"/>
  <c r="B28" i="48"/>
  <c r="C17" i="48"/>
  <c r="D25" i="48"/>
  <c r="N21" i="55" s="1"/>
  <c r="C23" i="55" s="1"/>
  <c r="D28" i="48"/>
  <c r="D23" i="48"/>
  <c r="N19" i="55" s="1"/>
  <c r="C29" i="55" s="1"/>
  <c r="B17" i="48"/>
  <c r="D20" i="48"/>
  <c r="D27" i="48"/>
  <c r="D21" i="48"/>
  <c r="N17" i="55" s="1"/>
  <c r="C21" i="55" s="1"/>
  <c r="D22" i="48"/>
  <c r="C28" i="48"/>
  <c r="D18" i="48"/>
  <c r="D17" i="48"/>
  <c r="C27" i="50"/>
  <c r="C24" i="50"/>
  <c r="C25" i="50"/>
  <c r="C32" i="50"/>
  <c r="B28" i="50"/>
  <c r="D30" i="50"/>
  <c r="R26" i="55" s="1"/>
  <c r="D34" i="50"/>
  <c r="R30" i="55" s="1"/>
  <c r="C21" i="50"/>
  <c r="C22" i="50"/>
  <c r="C31" i="50"/>
  <c r="D31" i="50"/>
  <c r="R27" i="55" s="1"/>
  <c r="C17" i="50"/>
  <c r="C30" i="50"/>
  <c r="C23" i="50"/>
  <c r="C33" i="50"/>
  <c r="D32" i="50"/>
  <c r="R28" i="55" s="1"/>
  <c r="G25" i="55" s="1"/>
  <c r="C18" i="50"/>
  <c r="C20" i="50"/>
  <c r="C34" i="50"/>
  <c r="C19" i="50"/>
  <c r="D33" i="50"/>
  <c r="R29" i="55" s="1"/>
  <c r="C28" i="50"/>
  <c r="C26" i="50"/>
  <c r="B26" i="50"/>
  <c r="D60" i="36"/>
  <c r="D26" i="56"/>
  <c r="S27" i="56" s="1"/>
  <c r="C27" i="56"/>
  <c r="C28" i="56"/>
  <c r="D18" i="56"/>
  <c r="S19" i="56" s="1"/>
  <c r="B32" i="56"/>
  <c r="D28" i="56"/>
  <c r="S29" i="56" s="1"/>
  <c r="C18" i="56"/>
  <c r="D25" i="56"/>
  <c r="B30" i="56"/>
  <c r="B20" i="56"/>
  <c r="B19" i="56"/>
  <c r="D33" i="56"/>
  <c r="S34" i="56" s="1"/>
  <c r="C22" i="56"/>
  <c r="D19" i="56"/>
  <c r="S20" i="56" s="1"/>
  <c r="C20" i="56"/>
  <c r="C26" i="56"/>
  <c r="D22" i="56"/>
  <c r="S23" i="56" s="1"/>
  <c r="B18" i="56"/>
  <c r="B34" i="56"/>
  <c r="B31" i="56"/>
  <c r="D34" i="56"/>
  <c r="S35" i="56" s="1"/>
  <c r="B26" i="56"/>
  <c r="D21" i="56"/>
  <c r="D27" i="56"/>
  <c r="S28" i="56" s="1"/>
  <c r="B27" i="56"/>
  <c r="D24" i="56"/>
  <c r="S25" i="56" s="1"/>
  <c r="D20" i="56"/>
  <c r="S21" i="56" s="1"/>
  <c r="C21" i="56"/>
  <c r="C19" i="56"/>
  <c r="B28" i="56"/>
  <c r="B23" i="56"/>
  <c r="B17" i="56"/>
  <c r="C25" i="56"/>
  <c r="C32" i="56"/>
  <c r="C33" i="56"/>
  <c r="D23" i="56"/>
  <c r="B21" i="56"/>
  <c r="D32" i="56"/>
  <c r="S33" i="56" s="1"/>
  <c r="D17" i="56"/>
  <c r="B33" i="56"/>
  <c r="B24" i="56"/>
  <c r="D31" i="56"/>
  <c r="S32" i="56" s="1"/>
  <c r="C34" i="56"/>
  <c r="C24" i="56"/>
  <c r="B22" i="56"/>
  <c r="C30" i="56"/>
  <c r="B25" i="56"/>
  <c r="C17" i="56"/>
  <c r="C31" i="56"/>
  <c r="C23" i="56"/>
  <c r="D30" i="56"/>
  <c r="S31" i="56" s="1"/>
  <c r="B19" i="50"/>
  <c r="D53" i="50"/>
  <c r="D28" i="50" s="1"/>
  <c r="B125" i="50"/>
  <c r="B144" i="50" s="1"/>
  <c r="M34" i="53"/>
  <c r="L34" i="53"/>
  <c r="K34" i="53"/>
  <c r="B121" i="50"/>
  <c r="B140" i="50" s="1"/>
  <c r="D49" i="50"/>
  <c r="D24" i="50" s="1"/>
  <c r="B124" i="50"/>
  <c r="B143" i="50" s="1"/>
  <c r="D52" i="50"/>
  <c r="D27" i="50" s="1"/>
  <c r="B115" i="50"/>
  <c r="B134" i="50" s="1"/>
  <c r="D43" i="50"/>
  <c r="D18" i="50" s="1"/>
  <c r="D48" i="50"/>
  <c r="D23" i="50" s="1"/>
  <c r="B120" i="50"/>
  <c r="B139" i="50" s="1"/>
  <c r="D50" i="50"/>
  <c r="D25" i="50" s="1"/>
  <c r="B122" i="50"/>
  <c r="D51" i="50"/>
  <c r="D26" i="50" s="1"/>
  <c r="B123" i="50"/>
  <c r="B142" i="50" s="1"/>
  <c r="M82" i="53"/>
  <c r="M83" i="53" s="1"/>
  <c r="K4" i="53" s="1"/>
  <c r="L82" i="53"/>
  <c r="L83" i="53" s="1"/>
  <c r="K82" i="53"/>
  <c r="K83" i="53" s="1"/>
  <c r="B116" i="50"/>
  <c r="B135" i="50" s="1"/>
  <c r="D44" i="50"/>
  <c r="D19" i="50" s="1"/>
  <c r="B17" i="50"/>
  <c r="B60" i="50"/>
  <c r="M56" i="53"/>
  <c r="I31" i="53" s="1"/>
  <c r="O57" i="53"/>
  <c r="L56" i="53"/>
  <c r="H31" i="53" s="1"/>
  <c r="K56" i="53"/>
  <c r="G31" i="53" s="1"/>
  <c r="D42" i="50"/>
  <c r="I35" i="50"/>
  <c r="B114" i="50"/>
  <c r="B117" i="50"/>
  <c r="B136" i="50" s="1"/>
  <c r="D45" i="50"/>
  <c r="D20" i="50" s="1"/>
  <c r="D46" i="50"/>
  <c r="D21" i="50" s="1"/>
  <c r="B118" i="50"/>
  <c r="B119" i="50"/>
  <c r="B138" i="50" s="1"/>
  <c r="D47" i="50"/>
  <c r="D22" i="50" s="1"/>
  <c r="G47" i="55" l="1"/>
  <c r="Q51" i="71" s="1"/>
  <c r="B35" i="50"/>
  <c r="C35" i="56"/>
  <c r="B35" i="56"/>
  <c r="B74" i="48"/>
  <c r="C74" i="48" s="1"/>
  <c r="N18" i="55"/>
  <c r="C22" i="55" s="1"/>
  <c r="B97" i="48"/>
  <c r="C97" i="48" s="1"/>
  <c r="B35" i="48"/>
  <c r="C35" i="48"/>
  <c r="C47" i="55"/>
  <c r="M51" i="71" s="1"/>
  <c r="H38" i="55"/>
  <c r="K38" i="55" s="1"/>
  <c r="O42" i="71"/>
  <c r="O41" i="71"/>
  <c r="H37" i="55"/>
  <c r="K37" i="55" s="1"/>
  <c r="O21" i="71"/>
  <c r="Z41" i="55"/>
  <c r="O25" i="71"/>
  <c r="Z45" i="55"/>
  <c r="Z49" i="55"/>
  <c r="O29" i="71"/>
  <c r="H26" i="55"/>
  <c r="O23" i="71"/>
  <c r="Z43" i="55"/>
  <c r="Z37" i="55"/>
  <c r="O17" i="71"/>
  <c r="K95" i="3"/>
  <c r="K118" i="3" s="1"/>
  <c r="M95" i="3"/>
  <c r="M118" i="3" s="1"/>
  <c r="M22" i="55"/>
  <c r="B15" i="55" s="1"/>
  <c r="L95" i="3"/>
  <c r="L118" i="3" s="1"/>
  <c r="L89" i="3"/>
  <c r="L112" i="3" s="1"/>
  <c r="M89" i="3"/>
  <c r="M112" i="3" s="1"/>
  <c r="M16" i="55"/>
  <c r="B16" i="55" s="1"/>
  <c r="K89" i="3"/>
  <c r="K112" i="3" s="1"/>
  <c r="K130" i="3" s="1"/>
  <c r="C30" i="49"/>
  <c r="D35" i="56"/>
  <c r="S18" i="56"/>
  <c r="Q28" i="71"/>
  <c r="AB48" i="55"/>
  <c r="C35" i="50"/>
  <c r="N13" i="55"/>
  <c r="B92" i="48"/>
  <c r="B69" i="48"/>
  <c r="D35" i="48"/>
  <c r="N33" i="55" s="1"/>
  <c r="M24" i="71"/>
  <c r="X44" i="55"/>
  <c r="M32" i="71"/>
  <c r="X52" i="55"/>
  <c r="C28" i="55"/>
  <c r="C41" i="55"/>
  <c r="B71" i="48"/>
  <c r="C71" i="48" s="1"/>
  <c r="B94" i="48"/>
  <c r="C94" i="48" s="1"/>
  <c r="N15" i="55"/>
  <c r="C18" i="55" s="1"/>
  <c r="H53" i="55"/>
  <c r="K53" i="55" s="1"/>
  <c r="O57" i="71"/>
  <c r="Z42" i="55"/>
  <c r="O22" i="71"/>
  <c r="H46" i="55"/>
  <c r="K46" i="55" s="1"/>
  <c r="O50" i="71"/>
  <c r="O19" i="71"/>
  <c r="Z39" i="55"/>
  <c r="O33" i="71"/>
  <c r="Z53" i="55"/>
  <c r="H30" i="55"/>
  <c r="E13" i="55"/>
  <c r="D54" i="47"/>
  <c r="P33" i="55" s="1"/>
  <c r="H40" i="55"/>
  <c r="K40" i="55" s="1"/>
  <c r="O44" i="71"/>
  <c r="H51" i="55"/>
  <c r="K51" i="55" s="1"/>
  <c r="O55" i="71"/>
  <c r="L88" i="3"/>
  <c r="L111" i="3" s="1"/>
  <c r="M88" i="3"/>
  <c r="M111" i="3" s="1"/>
  <c r="K88" i="3"/>
  <c r="K111" i="3" s="1"/>
  <c r="M15" i="55"/>
  <c r="B18" i="55" s="1"/>
  <c r="M87" i="3"/>
  <c r="M110" i="3" s="1"/>
  <c r="M14" i="55"/>
  <c r="B14" i="55" s="1"/>
  <c r="K87" i="3"/>
  <c r="K110" i="3" s="1"/>
  <c r="L87" i="3"/>
  <c r="L110" i="3" s="1"/>
  <c r="L103" i="3"/>
  <c r="L126" i="3" s="1"/>
  <c r="M30" i="55"/>
  <c r="K103" i="3"/>
  <c r="K126" i="3" s="1"/>
  <c r="M103" i="3"/>
  <c r="K100" i="3"/>
  <c r="K123" i="3" s="1"/>
  <c r="M27" i="55"/>
  <c r="M100" i="3"/>
  <c r="L100" i="3"/>
  <c r="L123" i="3" s="1"/>
  <c r="B37" i="3"/>
  <c r="G41" i="55"/>
  <c r="G28" i="55"/>
  <c r="N14" i="55"/>
  <c r="C14" i="55" s="1"/>
  <c r="B93" i="48"/>
  <c r="C93" i="48" s="1"/>
  <c r="B70" i="48"/>
  <c r="C70" i="48" s="1"/>
  <c r="B102" i="48"/>
  <c r="C102" i="48" s="1"/>
  <c r="N23" i="55"/>
  <c r="C17" i="55" s="1"/>
  <c r="B79" i="48"/>
  <c r="C79" i="48" s="1"/>
  <c r="B103" i="48"/>
  <c r="C103" i="48" s="1"/>
  <c r="B80" i="48"/>
  <c r="C80" i="48" s="1"/>
  <c r="N24" i="55"/>
  <c r="C20" i="55" s="1"/>
  <c r="B78" i="48"/>
  <c r="C78" i="48" s="1"/>
  <c r="N22" i="55"/>
  <c r="C15" i="55" s="1"/>
  <c r="B101" i="48"/>
  <c r="C101" i="48" s="1"/>
  <c r="O54" i="71"/>
  <c r="H50" i="55"/>
  <c r="K50" i="55" s="1"/>
  <c r="O28" i="71"/>
  <c r="Z48" i="55"/>
  <c r="H36" i="55"/>
  <c r="K36" i="55" s="1"/>
  <c r="O39" i="71"/>
  <c r="E54" i="55"/>
  <c r="O26" i="71"/>
  <c r="Z46" i="55"/>
  <c r="H44" i="55"/>
  <c r="K44" i="55" s="1"/>
  <c r="O48" i="71"/>
  <c r="Z50" i="55"/>
  <c r="H27" i="55"/>
  <c r="O30" i="71"/>
  <c r="Z44" i="55"/>
  <c r="O24" i="71"/>
  <c r="O56" i="71"/>
  <c r="H52" i="55"/>
  <c r="K52" i="55" s="1"/>
  <c r="C54" i="47"/>
  <c r="Z40" i="55"/>
  <c r="O20" i="71"/>
  <c r="O32" i="71"/>
  <c r="Z52" i="55"/>
  <c r="O49" i="71"/>
  <c r="H45" i="55"/>
  <c r="K45" i="55" s="1"/>
  <c r="M91" i="3"/>
  <c r="M114" i="3" s="1"/>
  <c r="K91" i="3"/>
  <c r="K114" i="3" s="1"/>
  <c r="L91" i="3"/>
  <c r="L114" i="3" s="1"/>
  <c r="M18" i="55"/>
  <c r="B22" i="55" s="1"/>
  <c r="M21" i="55"/>
  <c r="B23" i="55" s="1"/>
  <c r="L94" i="3"/>
  <c r="M94" i="3"/>
  <c r="M117" i="3" s="1"/>
  <c r="K94" i="3"/>
  <c r="K117" i="3" s="1"/>
  <c r="K86" i="3"/>
  <c r="K109" i="3" s="1"/>
  <c r="D37" i="3"/>
  <c r="L86" i="3"/>
  <c r="L109" i="3" s="1"/>
  <c r="M13" i="55"/>
  <c r="M86" i="3"/>
  <c r="M109" i="3" s="1"/>
  <c r="L90" i="3"/>
  <c r="L113" i="3" s="1"/>
  <c r="M90" i="3"/>
  <c r="M113" i="3" s="1"/>
  <c r="M17" i="55"/>
  <c r="B21" i="55" s="1"/>
  <c r="K90" i="3"/>
  <c r="K113" i="3" s="1"/>
  <c r="M92" i="3"/>
  <c r="M115" i="3" s="1"/>
  <c r="M19" i="55"/>
  <c r="B29" i="55" s="1"/>
  <c r="L92" i="3"/>
  <c r="L115" i="3" s="1"/>
  <c r="K92" i="3"/>
  <c r="M97" i="3"/>
  <c r="M120" i="3" s="1"/>
  <c r="K97" i="3"/>
  <c r="K120" i="3" s="1"/>
  <c r="M24" i="55"/>
  <c r="L97" i="3"/>
  <c r="L120" i="3" s="1"/>
  <c r="B30" i="49"/>
  <c r="D30" i="49"/>
  <c r="B95" i="48"/>
  <c r="C95" i="48" s="1"/>
  <c r="N16" i="55"/>
  <c r="C16" i="55" s="1"/>
  <c r="B72" i="48"/>
  <c r="C72" i="48" s="1"/>
  <c r="X46" i="55"/>
  <c r="M26" i="71"/>
  <c r="B76" i="48"/>
  <c r="C76" i="48" s="1"/>
  <c r="N20" i="55"/>
  <c r="C19" i="55" s="1"/>
  <c r="B99" i="48"/>
  <c r="C99" i="48" s="1"/>
  <c r="N28" i="55"/>
  <c r="C25" i="55" s="1"/>
  <c r="B84" i="48"/>
  <c r="B107" i="48"/>
  <c r="C107" i="48" s="1"/>
  <c r="O27" i="71"/>
  <c r="H24" i="55"/>
  <c r="Z47" i="55"/>
  <c r="Z51" i="55"/>
  <c r="O31" i="71"/>
  <c r="H31" i="55"/>
  <c r="Z54" i="55"/>
  <c r="O34" i="71"/>
  <c r="O52" i="71"/>
  <c r="H48" i="55"/>
  <c r="K48" i="55" s="1"/>
  <c r="O53" i="71"/>
  <c r="H49" i="55"/>
  <c r="K49" i="55" s="1"/>
  <c r="O18" i="71"/>
  <c r="Z38" i="55"/>
  <c r="H39" i="55"/>
  <c r="K39" i="55" s="1"/>
  <c r="O43" i="71"/>
  <c r="O46" i="71"/>
  <c r="H42" i="55"/>
  <c r="K42" i="55" s="1"/>
  <c r="B54" i="47"/>
  <c r="O47" i="71"/>
  <c r="H43" i="55"/>
  <c r="K43" i="55" s="1"/>
  <c r="L96" i="3"/>
  <c r="L119" i="3" s="1"/>
  <c r="M23" i="55"/>
  <c r="B17" i="55" s="1"/>
  <c r="M96" i="3"/>
  <c r="M119" i="3" s="1"/>
  <c r="D96" i="3"/>
  <c r="D97" i="3" s="1"/>
  <c r="K96" i="3"/>
  <c r="K119" i="3" s="1"/>
  <c r="M20" i="55"/>
  <c r="B19" i="55" s="1"/>
  <c r="M93" i="3"/>
  <c r="M116" i="3" s="1"/>
  <c r="K93" i="3"/>
  <c r="K116" i="3" s="1"/>
  <c r="L93" i="3"/>
  <c r="L116" i="3" s="1"/>
  <c r="C37" i="3"/>
  <c r="L99" i="3"/>
  <c r="L122" i="3" s="1"/>
  <c r="K99" i="3"/>
  <c r="K122" i="3" s="1"/>
  <c r="M26" i="55"/>
  <c r="M99" i="3"/>
  <c r="L101" i="3"/>
  <c r="L124" i="3" s="1"/>
  <c r="M101" i="3"/>
  <c r="M124" i="3" s="1"/>
  <c r="K101" i="3"/>
  <c r="K124" i="3" s="1"/>
  <c r="M28" i="55"/>
  <c r="B25" i="55" s="1"/>
  <c r="M102" i="3"/>
  <c r="L102" i="3"/>
  <c r="L125" i="3" s="1"/>
  <c r="K102" i="3"/>
  <c r="K125" i="3" s="1"/>
  <c r="M29" i="55"/>
  <c r="B47" i="55" s="1"/>
  <c r="L51" i="71" s="1"/>
  <c r="R19" i="55"/>
  <c r="G29" i="55" s="1"/>
  <c r="B95" i="50"/>
  <c r="D95" i="50" s="1"/>
  <c r="B72" i="50"/>
  <c r="L35" i="53"/>
  <c r="B126" i="50"/>
  <c r="B133" i="50"/>
  <c r="B98" i="50"/>
  <c r="D98" i="50" s="1"/>
  <c r="B75" i="50"/>
  <c r="R22" i="55"/>
  <c r="G15" i="55" s="1"/>
  <c r="B67" i="50"/>
  <c r="B90" i="50"/>
  <c r="D90" i="50" s="1"/>
  <c r="R14" i="55"/>
  <c r="G14" i="55" s="1"/>
  <c r="R20" i="55"/>
  <c r="G19" i="55" s="1"/>
  <c r="B73" i="50"/>
  <c r="B96" i="50"/>
  <c r="D96" i="50" s="1"/>
  <c r="M35" i="53"/>
  <c r="K6" i="53" s="1"/>
  <c r="R24" i="55"/>
  <c r="G20" i="55" s="1"/>
  <c r="B77" i="50"/>
  <c r="B100" i="50"/>
  <c r="D100" i="50" s="1"/>
  <c r="B93" i="50"/>
  <c r="D93" i="50" s="1"/>
  <c r="R17" i="55"/>
  <c r="G21" i="55" s="1"/>
  <c r="B70" i="50"/>
  <c r="B92" i="50"/>
  <c r="D92" i="50" s="1"/>
  <c r="B69" i="50"/>
  <c r="R16" i="55"/>
  <c r="G16" i="55" s="1"/>
  <c r="B91" i="50"/>
  <c r="D91" i="50" s="1"/>
  <c r="B68" i="50"/>
  <c r="R15" i="55"/>
  <c r="G18" i="55" s="1"/>
  <c r="B94" i="50"/>
  <c r="D94" i="50" s="1"/>
  <c r="B71" i="50"/>
  <c r="R18" i="55"/>
  <c r="G22" i="55" s="1"/>
  <c r="D17" i="50"/>
  <c r="D60" i="50"/>
  <c r="M57" i="53"/>
  <c r="I32" i="53" s="1"/>
  <c r="O58" i="53"/>
  <c r="K57" i="53"/>
  <c r="G32" i="53" s="1"/>
  <c r="L57" i="53"/>
  <c r="H32" i="53" s="1"/>
  <c r="R21" i="55"/>
  <c r="G23" i="55" s="1"/>
  <c r="B97" i="50"/>
  <c r="D97" i="50" s="1"/>
  <c r="B74" i="50"/>
  <c r="F74" i="50" s="1"/>
  <c r="H74" i="50" s="1"/>
  <c r="B99" i="50"/>
  <c r="D99" i="50" s="1"/>
  <c r="R23" i="55"/>
  <c r="G17" i="55" s="1"/>
  <c r="B76" i="50"/>
  <c r="K35" i="53"/>
  <c r="E95" i="48" l="1"/>
  <c r="F97" i="48"/>
  <c r="B20" i="55"/>
  <c r="W43" i="55" s="1"/>
  <c r="E99" i="48"/>
  <c r="E101" i="48"/>
  <c r="E102" i="48"/>
  <c r="F107" i="48"/>
  <c r="F103" i="48"/>
  <c r="E93" i="48"/>
  <c r="F94" i="48"/>
  <c r="E97" i="48"/>
  <c r="E94" i="48"/>
  <c r="L28" i="71"/>
  <c r="W48" i="55"/>
  <c r="L22" i="71"/>
  <c r="W42" i="55"/>
  <c r="L20" i="71"/>
  <c r="W40" i="55"/>
  <c r="L53" i="20"/>
  <c r="L53" i="19"/>
  <c r="R53" i="19" s="1"/>
  <c r="W53" i="71"/>
  <c r="L53" i="22"/>
  <c r="F25" i="33"/>
  <c r="F32" i="33" s="1"/>
  <c r="X39" i="55"/>
  <c r="M19" i="71"/>
  <c r="L26" i="71"/>
  <c r="W46" i="55"/>
  <c r="L30" i="19"/>
  <c r="W30" i="71"/>
  <c r="L39" i="20"/>
  <c r="R39" i="20" s="1"/>
  <c r="H25" i="33"/>
  <c r="H32" i="33" s="1"/>
  <c r="L39" i="22"/>
  <c r="O58" i="71"/>
  <c r="W39" i="71"/>
  <c r="L39" i="19"/>
  <c r="R39" i="19" s="1"/>
  <c r="F93" i="48"/>
  <c r="L50" i="19"/>
  <c r="R50" i="19" s="1"/>
  <c r="W50" i="71"/>
  <c r="L50" i="22"/>
  <c r="L50" i="20"/>
  <c r="W57" i="71"/>
  <c r="L57" i="19"/>
  <c r="R57" i="19" s="1"/>
  <c r="L57" i="22"/>
  <c r="L57" i="20"/>
  <c r="B87" i="48"/>
  <c r="C87" i="48" s="1"/>
  <c r="C69" i="48"/>
  <c r="E92" i="48" s="1"/>
  <c r="M25" i="71"/>
  <c r="X45" i="55"/>
  <c r="K31" i="55"/>
  <c r="AC54" i="55"/>
  <c r="K24" i="55"/>
  <c r="AC47" i="55"/>
  <c r="M28" i="71"/>
  <c r="X48" i="55"/>
  <c r="F95" i="48"/>
  <c r="L24" i="71"/>
  <c r="W44" i="55"/>
  <c r="B13" i="55"/>
  <c r="M32" i="55"/>
  <c r="L25" i="71"/>
  <c r="W45" i="55"/>
  <c r="L56" i="20"/>
  <c r="W56" i="71"/>
  <c r="L56" i="22"/>
  <c r="L56" i="19"/>
  <c r="R56" i="19" s="1"/>
  <c r="K27" i="55"/>
  <c r="AC50" i="55"/>
  <c r="E25" i="33"/>
  <c r="E32" i="33" s="1"/>
  <c r="W54" i="71"/>
  <c r="L54" i="22"/>
  <c r="L54" i="19"/>
  <c r="R54" i="19" s="1"/>
  <c r="L54" i="20"/>
  <c r="M23" i="71"/>
  <c r="X43" i="55"/>
  <c r="M20" i="71"/>
  <c r="X40" i="55"/>
  <c r="M17" i="71"/>
  <c r="X37" i="55"/>
  <c r="L21" i="71"/>
  <c r="W41" i="55"/>
  <c r="L55" i="22"/>
  <c r="W55" i="71"/>
  <c r="L55" i="19"/>
  <c r="R55" i="19" s="1"/>
  <c r="L55" i="20"/>
  <c r="R55" i="20" s="1"/>
  <c r="L33" i="19"/>
  <c r="W33" i="71"/>
  <c r="M45" i="71"/>
  <c r="M58" i="71" s="1"/>
  <c r="C54" i="55"/>
  <c r="C92" i="48"/>
  <c r="F92" i="48" s="1"/>
  <c r="B110" i="48"/>
  <c r="C110" i="48" s="1"/>
  <c r="K26" i="55"/>
  <c r="AC49" i="55"/>
  <c r="L41" i="20"/>
  <c r="W41" i="71"/>
  <c r="L41" i="19"/>
  <c r="R41" i="19" s="1"/>
  <c r="L41" i="22"/>
  <c r="L46" i="20"/>
  <c r="L46" i="19"/>
  <c r="R46" i="19" s="1"/>
  <c r="W46" i="71"/>
  <c r="L46" i="22"/>
  <c r="L52" i="20"/>
  <c r="L52" i="19"/>
  <c r="R52" i="19" s="1"/>
  <c r="W52" i="71"/>
  <c r="L52" i="22"/>
  <c r="C25" i="33"/>
  <c r="W27" i="71"/>
  <c r="L27" i="19"/>
  <c r="F99" i="48"/>
  <c r="L32" i="71"/>
  <c r="W52" i="55"/>
  <c r="L49" i="20"/>
  <c r="W49" i="71"/>
  <c r="L49" i="22"/>
  <c r="L49" i="19"/>
  <c r="R49" i="19" s="1"/>
  <c r="F101" i="48"/>
  <c r="E103" i="48"/>
  <c r="F102" i="48"/>
  <c r="AB51" i="55"/>
  <c r="Q31" i="71"/>
  <c r="E32" i="55"/>
  <c r="Z36" i="55"/>
  <c r="O16" i="71"/>
  <c r="X41" i="55"/>
  <c r="M21" i="71"/>
  <c r="H28" i="55"/>
  <c r="M31" i="71"/>
  <c r="X51" i="55"/>
  <c r="C13" i="55"/>
  <c r="N32" i="55"/>
  <c r="W39" i="55"/>
  <c r="L19" i="71"/>
  <c r="L18" i="71"/>
  <c r="W38" i="55"/>
  <c r="W29" i="71"/>
  <c r="L29" i="19"/>
  <c r="W42" i="71"/>
  <c r="L42" i="20"/>
  <c r="R42" i="20" s="1"/>
  <c r="L42" i="19"/>
  <c r="R42" i="19" s="1"/>
  <c r="L42" i="22"/>
  <c r="L47" i="22"/>
  <c r="L47" i="20"/>
  <c r="L47" i="19"/>
  <c r="R47" i="19" s="1"/>
  <c r="W47" i="71"/>
  <c r="L43" i="20"/>
  <c r="R43" i="20" s="1"/>
  <c r="L43" i="19"/>
  <c r="R43" i="19" s="1"/>
  <c r="L43" i="22"/>
  <c r="W43" i="71"/>
  <c r="W34" i="71"/>
  <c r="L34" i="19"/>
  <c r="X42" i="55"/>
  <c r="M22" i="71"/>
  <c r="D87" i="3"/>
  <c r="D90" i="3" s="1"/>
  <c r="L104" i="3"/>
  <c r="M104" i="3"/>
  <c r="M33" i="55"/>
  <c r="K104" i="3"/>
  <c r="K127" i="3" s="1"/>
  <c r="W48" i="71"/>
  <c r="L48" i="19"/>
  <c r="R48" i="19" s="1"/>
  <c r="L48" i="22"/>
  <c r="L48" i="20"/>
  <c r="X38" i="55"/>
  <c r="M18" i="71"/>
  <c r="G54" i="55"/>
  <c r="Q45" i="71"/>
  <c r="Q58" i="71" s="1"/>
  <c r="B41" i="55"/>
  <c r="L17" i="71"/>
  <c r="W37" i="55"/>
  <c r="D25" i="33"/>
  <c r="L44" i="22"/>
  <c r="W44" i="71"/>
  <c r="L44" i="20"/>
  <c r="L44" i="19"/>
  <c r="R44" i="19" s="1"/>
  <c r="K30" i="55"/>
  <c r="AC53" i="55"/>
  <c r="D76" i="50"/>
  <c r="G76" i="50" s="1"/>
  <c r="D71" i="50"/>
  <c r="G71" i="50" s="1"/>
  <c r="Q21" i="71"/>
  <c r="AB41" i="55"/>
  <c r="D69" i="50"/>
  <c r="G69" i="50" s="1"/>
  <c r="AB44" i="55"/>
  <c r="Q24" i="71"/>
  <c r="D75" i="50"/>
  <c r="G75" i="50" s="1"/>
  <c r="D72" i="50"/>
  <c r="G72" i="50" s="1"/>
  <c r="D68" i="50"/>
  <c r="G68" i="50" s="1"/>
  <c r="D77" i="50"/>
  <c r="G77" i="50" s="1"/>
  <c r="D73" i="50"/>
  <c r="G73" i="50" s="1"/>
  <c r="D67" i="50"/>
  <c r="G67" i="50" s="1"/>
  <c r="AB40" i="55"/>
  <c r="Q20" i="71"/>
  <c r="M58" i="53"/>
  <c r="I33" i="53" s="1"/>
  <c r="O59" i="53"/>
  <c r="K58" i="53"/>
  <c r="G33" i="53" s="1"/>
  <c r="L58" i="53"/>
  <c r="H33" i="53" s="1"/>
  <c r="Q23" i="71"/>
  <c r="AB43" i="55"/>
  <c r="Q22" i="71"/>
  <c r="AB42" i="55"/>
  <c r="AB52" i="55"/>
  <c r="Q32" i="71"/>
  <c r="R13" i="55"/>
  <c r="B89" i="50"/>
  <c r="B66" i="50"/>
  <c r="D35" i="50"/>
  <c r="R33" i="55" s="1"/>
  <c r="Q26" i="71"/>
  <c r="AB46" i="55"/>
  <c r="Q25" i="71"/>
  <c r="AB45" i="55"/>
  <c r="AB39" i="55"/>
  <c r="Q19" i="71"/>
  <c r="D70" i="50"/>
  <c r="G70" i="50" s="1"/>
  <c r="Q17" i="71"/>
  <c r="AB37" i="55"/>
  <c r="AB38" i="55"/>
  <c r="Q18" i="71"/>
  <c r="L23" i="71" l="1"/>
  <c r="F76" i="50"/>
  <c r="H76" i="50" s="1"/>
  <c r="F110" i="48"/>
  <c r="I43" i="23"/>
  <c r="R43" i="22"/>
  <c r="L31" i="19"/>
  <c r="W31" i="71"/>
  <c r="O35" i="71"/>
  <c r="O59" i="71" s="1"/>
  <c r="B25" i="33"/>
  <c r="K25" i="33" s="1"/>
  <c r="L25" i="33" s="1"/>
  <c r="I54" i="23"/>
  <c r="R54" i="22"/>
  <c r="R56" i="20"/>
  <c r="K53" i="69"/>
  <c r="N53" i="69" s="1"/>
  <c r="P53" i="69" s="1"/>
  <c r="B32" i="55"/>
  <c r="L16" i="71"/>
  <c r="W36" i="55"/>
  <c r="R57" i="20"/>
  <c r="K54" i="69"/>
  <c r="N54" i="69" s="1"/>
  <c r="P54" i="69" s="1"/>
  <c r="R50" i="20"/>
  <c r="K47" i="69"/>
  <c r="N47" i="69" s="1"/>
  <c r="P47" i="69" s="1"/>
  <c r="R39" i="22"/>
  <c r="I39" i="23"/>
  <c r="L30" i="20"/>
  <c r="R30" i="20" s="1"/>
  <c r="L30" i="22"/>
  <c r="R30" i="19"/>
  <c r="I44" i="23"/>
  <c r="R44" i="22"/>
  <c r="B54" i="55"/>
  <c r="L45" i="71"/>
  <c r="L34" i="22"/>
  <c r="R34" i="19"/>
  <c r="L34" i="20"/>
  <c r="R34" i="20" s="1"/>
  <c r="R47" i="20"/>
  <c r="K44" i="69"/>
  <c r="N44" i="69" s="1"/>
  <c r="P44" i="69" s="1"/>
  <c r="K28" i="55"/>
  <c r="AC51" i="55"/>
  <c r="R49" i="22"/>
  <c r="I49" i="23"/>
  <c r="R52" i="20"/>
  <c r="K49" i="69"/>
  <c r="N49" i="69" s="1"/>
  <c r="P49" i="69" s="1"/>
  <c r="R46" i="20"/>
  <c r="K43" i="69"/>
  <c r="N43" i="69" s="1"/>
  <c r="P43" i="69" s="1"/>
  <c r="R41" i="20"/>
  <c r="K38" i="69"/>
  <c r="N38" i="69" s="1"/>
  <c r="P38" i="69" s="1"/>
  <c r="R33" i="19"/>
  <c r="L33" i="20"/>
  <c r="L33" i="22"/>
  <c r="I55" i="23"/>
  <c r="R55" i="22"/>
  <c r="I57" i="23"/>
  <c r="R57" i="22"/>
  <c r="R50" i="22"/>
  <c r="I50" i="23"/>
  <c r="R53" i="20"/>
  <c r="K50" i="69"/>
  <c r="N50" i="69" s="1"/>
  <c r="P50" i="69" s="1"/>
  <c r="R48" i="20"/>
  <c r="K45" i="69"/>
  <c r="N45" i="69" s="1"/>
  <c r="P45" i="69" s="1"/>
  <c r="I47" i="23"/>
  <c r="R47" i="22"/>
  <c r="C32" i="55"/>
  <c r="M16" i="71"/>
  <c r="X36" i="55"/>
  <c r="E55" i="55"/>
  <c r="Z55" i="55"/>
  <c r="R52" i="22"/>
  <c r="I52" i="23"/>
  <c r="I46" i="23"/>
  <c r="R46" i="22"/>
  <c r="I41" i="23"/>
  <c r="R41" i="22"/>
  <c r="R54" i="20"/>
  <c r="K51" i="69"/>
  <c r="N51" i="69" s="1"/>
  <c r="P51" i="69" s="1"/>
  <c r="R56" i="22"/>
  <c r="I56" i="23"/>
  <c r="I53" i="23"/>
  <c r="R53" i="22"/>
  <c r="R44" i="20"/>
  <c r="K41" i="69"/>
  <c r="N41" i="69" s="1"/>
  <c r="P41" i="69" s="1"/>
  <c r="I48" i="23"/>
  <c r="R48" i="22"/>
  <c r="R42" i="22"/>
  <c r="I42" i="23"/>
  <c r="L29" i="20"/>
  <c r="R29" i="20" s="1"/>
  <c r="L29" i="22"/>
  <c r="R29" i="19"/>
  <c r="R49" i="20"/>
  <c r="K46" i="69"/>
  <c r="N46" i="69" s="1"/>
  <c r="P46" i="69" s="1"/>
  <c r="R27" i="19"/>
  <c r="L27" i="20"/>
  <c r="R27" i="20" s="1"/>
  <c r="J25" i="69" s="1"/>
  <c r="L27" i="22"/>
  <c r="I27" i="23" s="1"/>
  <c r="E110" i="48"/>
  <c r="F70" i="50"/>
  <c r="H70" i="50" s="1"/>
  <c r="F68" i="50"/>
  <c r="H68" i="50" s="1"/>
  <c r="F69" i="50"/>
  <c r="H69" i="50" s="1"/>
  <c r="F77" i="50"/>
  <c r="H77" i="50" s="1"/>
  <c r="F75" i="50"/>
  <c r="H75" i="50" s="1"/>
  <c r="B107" i="50"/>
  <c r="D89" i="50"/>
  <c r="F67" i="50"/>
  <c r="H67" i="50" s="1"/>
  <c r="F72" i="50"/>
  <c r="H72" i="50" s="1"/>
  <c r="F71" i="50"/>
  <c r="H71" i="50" s="1"/>
  <c r="B84" i="50"/>
  <c r="D66" i="50"/>
  <c r="F66" i="50" s="1"/>
  <c r="M59" i="53"/>
  <c r="L59" i="53"/>
  <c r="K59" i="53"/>
  <c r="G13" i="55"/>
  <c r="R32" i="55"/>
  <c r="F73" i="50"/>
  <c r="H73" i="50" s="1"/>
  <c r="R34" i="22" l="1"/>
  <c r="I34" i="23"/>
  <c r="N34" i="23" s="1"/>
  <c r="R29" i="22"/>
  <c r="I29" i="23"/>
  <c r="N29" i="23" s="1"/>
  <c r="I33" i="23"/>
  <c r="N33" i="23" s="1"/>
  <c r="R33" i="22"/>
  <c r="B21" i="33"/>
  <c r="L35" i="71"/>
  <c r="B55" i="55"/>
  <c r="W55" i="55"/>
  <c r="W56" i="55"/>
  <c r="R31" i="19"/>
  <c r="L31" i="22"/>
  <c r="L31" i="20"/>
  <c r="K31" i="69"/>
  <c r="N31" i="69" s="1"/>
  <c r="P31" i="69" s="1"/>
  <c r="R33" i="20"/>
  <c r="K25" i="69"/>
  <c r="J57" i="69"/>
  <c r="B22" i="33"/>
  <c r="K22" i="33" s="1"/>
  <c r="L22" i="33" s="1"/>
  <c r="M35" i="71"/>
  <c r="M59" i="71" s="1"/>
  <c r="L58" i="71"/>
  <c r="D21" i="33"/>
  <c r="C55" i="55"/>
  <c r="C57" i="55" s="1"/>
  <c r="X55" i="55"/>
  <c r="I30" i="23"/>
  <c r="N30" i="23" s="1"/>
  <c r="R30" i="22"/>
  <c r="F84" i="50"/>
  <c r="H66" i="50"/>
  <c r="K60" i="53"/>
  <c r="T3" i="53" s="1"/>
  <c r="G34" i="53"/>
  <c r="L60" i="53"/>
  <c r="H34" i="53"/>
  <c r="M60" i="53"/>
  <c r="K5" i="53" s="1"/>
  <c r="I34" i="53"/>
  <c r="Q16" i="71"/>
  <c r="G32" i="55"/>
  <c r="AB36" i="55"/>
  <c r="D84" i="50"/>
  <c r="G66" i="50"/>
  <c r="L59" i="71" l="1"/>
  <c r="K21" i="33"/>
  <c r="L21" i="33" s="1"/>
  <c r="K29" i="69"/>
  <c r="N29" i="69" s="1"/>
  <c r="P29" i="69" s="1"/>
  <c r="R31" i="20"/>
  <c r="G27" i="22"/>
  <c r="N25" i="69"/>
  <c r="I31" i="23"/>
  <c r="N31" i="23" s="1"/>
  <c r="R31" i="22"/>
  <c r="B57" i="55"/>
  <c r="I35" i="53"/>
  <c r="B23" i="33"/>
  <c r="Q35" i="71"/>
  <c r="Q59" i="71" s="1"/>
  <c r="H35" i="53"/>
  <c r="B64" i="27"/>
  <c r="T4" i="53"/>
  <c r="B65" i="27" s="1"/>
  <c r="K9" i="53"/>
  <c r="G55" i="55"/>
  <c r="AB55" i="55"/>
  <c r="G35" i="53"/>
  <c r="G35" i="22" l="1"/>
  <c r="I62" i="22" s="1"/>
  <c r="G27" i="23"/>
  <c r="R27" i="22"/>
  <c r="L4" i="53"/>
  <c r="L6" i="53"/>
  <c r="M6" i="53" s="1"/>
  <c r="N6" i="53" s="1"/>
  <c r="L5" i="53"/>
  <c r="M5" i="53" s="1"/>
  <c r="N5" i="53" s="1"/>
  <c r="K23" i="33"/>
  <c r="L23" i="33" s="1"/>
  <c r="B42" i="53"/>
  <c r="B44" i="53"/>
  <c r="B19" i="53" s="1"/>
  <c r="B43" i="53"/>
  <c r="B18" i="53" s="1"/>
  <c r="B45" i="53"/>
  <c r="B20" i="53" s="1"/>
  <c r="B46" i="53"/>
  <c r="B21" i="53" s="1"/>
  <c r="B47" i="53"/>
  <c r="B22" i="53" s="1"/>
  <c r="B48" i="53"/>
  <c r="B23" i="53" s="1"/>
  <c r="B49" i="53"/>
  <c r="B24" i="53" s="1"/>
  <c r="B50" i="53"/>
  <c r="B25" i="53" s="1"/>
  <c r="B51" i="53"/>
  <c r="B26" i="53" s="1"/>
  <c r="B52" i="53"/>
  <c r="B27" i="53" s="1"/>
  <c r="B53" i="53"/>
  <c r="B28" i="53" s="1"/>
  <c r="B55" i="53"/>
  <c r="B30" i="53" s="1"/>
  <c r="B56" i="53"/>
  <c r="B31" i="53" s="1"/>
  <c r="B57" i="53"/>
  <c r="B32" i="53" s="1"/>
  <c r="B58" i="53"/>
  <c r="B33" i="53" s="1"/>
  <c r="B66" i="27"/>
  <c r="C64" i="27" s="1"/>
  <c r="B59" i="53"/>
  <c r="B34" i="53" s="1"/>
  <c r="C42" i="53"/>
  <c r="C43" i="53"/>
  <c r="C18" i="53" s="1"/>
  <c r="C44" i="53"/>
  <c r="C19" i="53" s="1"/>
  <c r="C45" i="53"/>
  <c r="C20" i="53" s="1"/>
  <c r="C46" i="53"/>
  <c r="C21" i="53" s="1"/>
  <c r="C48" i="53"/>
  <c r="C23" i="53" s="1"/>
  <c r="C47" i="53"/>
  <c r="C22" i="53" s="1"/>
  <c r="C49" i="53"/>
  <c r="C24" i="53" s="1"/>
  <c r="C51" i="53"/>
  <c r="C26" i="53" s="1"/>
  <c r="C50" i="53"/>
  <c r="C25" i="53" s="1"/>
  <c r="C52" i="53"/>
  <c r="C27" i="53" s="1"/>
  <c r="C53" i="53"/>
  <c r="C28" i="53" s="1"/>
  <c r="C55" i="53"/>
  <c r="C30" i="53" s="1"/>
  <c r="C56" i="53"/>
  <c r="C31" i="53" s="1"/>
  <c r="C57" i="53"/>
  <c r="C32" i="53" s="1"/>
  <c r="C58" i="53"/>
  <c r="C33" i="53" s="1"/>
  <c r="C59" i="53"/>
  <c r="C34" i="53" s="1"/>
  <c r="D43" i="53"/>
  <c r="D18" i="53" s="1"/>
  <c r="D42" i="53"/>
  <c r="D44" i="53"/>
  <c r="D19" i="53" s="1"/>
  <c r="D45" i="53"/>
  <c r="D20" i="53" s="1"/>
  <c r="D46" i="53"/>
  <c r="D21" i="53" s="1"/>
  <c r="D47" i="53"/>
  <c r="D22" i="53" s="1"/>
  <c r="D48" i="53"/>
  <c r="D23" i="53" s="1"/>
  <c r="D49" i="53"/>
  <c r="D24" i="53" s="1"/>
  <c r="D50" i="53"/>
  <c r="D25" i="53" s="1"/>
  <c r="D51" i="53"/>
  <c r="D26" i="53" s="1"/>
  <c r="D52" i="53"/>
  <c r="D27" i="53" s="1"/>
  <c r="D53" i="53"/>
  <c r="D28" i="53" s="1"/>
  <c r="D55" i="53"/>
  <c r="D30" i="53" s="1"/>
  <c r="Q26" i="55" s="1"/>
  <c r="D56" i="53"/>
  <c r="D31" i="53" s="1"/>
  <c r="Q27" i="55" s="1"/>
  <c r="D57" i="53"/>
  <c r="D32" i="53" s="1"/>
  <c r="Q28" i="55" s="1"/>
  <c r="F25" i="55" s="1"/>
  <c r="D58" i="53"/>
  <c r="D33" i="53" s="1"/>
  <c r="Q29" i="55" s="1"/>
  <c r="F47" i="55" s="1"/>
  <c r="D59" i="53"/>
  <c r="D34" i="53" s="1"/>
  <c r="Q30" i="55" s="1"/>
  <c r="G35" i="23" l="1"/>
  <c r="C28" i="33"/>
  <c r="N27" i="23"/>
  <c r="C65" i="27"/>
  <c r="F41" i="55"/>
  <c r="F54" i="55" s="1"/>
  <c r="P51" i="71"/>
  <c r="H47" i="55"/>
  <c r="K47" i="55" s="1"/>
  <c r="AD45" i="53"/>
  <c r="AB45" i="53"/>
  <c r="Q16" i="55"/>
  <c r="F16" i="55" s="1"/>
  <c r="AC45" i="53"/>
  <c r="B17" i="53"/>
  <c r="B35" i="53" s="1"/>
  <c r="B60" i="53"/>
  <c r="Q20" i="55"/>
  <c r="F19" i="55" s="1"/>
  <c r="AC49" i="53"/>
  <c r="AD49" i="53"/>
  <c r="AB49" i="53"/>
  <c r="AB52" i="53"/>
  <c r="AD52" i="53"/>
  <c r="Q23" i="55"/>
  <c r="F17" i="55" s="1"/>
  <c r="AC52" i="53"/>
  <c r="AB44" i="53"/>
  <c r="AD44" i="53"/>
  <c r="Q15" i="55"/>
  <c r="F18" i="55" s="1"/>
  <c r="AC44" i="53"/>
  <c r="AC51" i="53"/>
  <c r="AB51" i="53"/>
  <c r="Q22" i="55"/>
  <c r="F15" i="55" s="1"/>
  <c r="AD51" i="53"/>
  <c r="L9" i="53"/>
  <c r="M4" i="53"/>
  <c r="AC53" i="53"/>
  <c r="Q24" i="55"/>
  <c r="F20" i="55" s="1"/>
  <c r="AD53" i="53"/>
  <c r="AB53" i="53"/>
  <c r="AA48" i="55"/>
  <c r="P28" i="71"/>
  <c r="H25" i="55"/>
  <c r="K25" i="55" s="1"/>
  <c r="Q19" i="55"/>
  <c r="F29" i="55" s="1"/>
  <c r="AC48" i="53"/>
  <c r="AD48" i="53"/>
  <c r="AB48" i="53"/>
  <c r="C17" i="53"/>
  <c r="C35" i="53" s="1"/>
  <c r="C60" i="53"/>
  <c r="P45" i="71"/>
  <c r="AC47" i="53"/>
  <c r="AB47" i="53"/>
  <c r="Q18" i="55"/>
  <c r="F22" i="55" s="1"/>
  <c r="AD47" i="53"/>
  <c r="D17" i="53"/>
  <c r="D60" i="53"/>
  <c r="AD50" i="53"/>
  <c r="Q21" i="55"/>
  <c r="F23" i="55" s="1"/>
  <c r="AC50" i="53"/>
  <c r="AB50" i="53"/>
  <c r="AB46" i="53"/>
  <c r="AC46" i="53"/>
  <c r="Q17" i="55"/>
  <c r="F21" i="55" s="1"/>
  <c r="AD46" i="53"/>
  <c r="Q14" i="55"/>
  <c r="F14" i="55" s="1"/>
  <c r="AB43" i="53"/>
  <c r="AC43" i="53"/>
  <c r="AD43" i="53"/>
  <c r="C62" i="27"/>
  <c r="C61" i="27"/>
  <c r="C56" i="27"/>
  <c r="C57" i="27"/>
  <c r="C63" i="27"/>
  <c r="C72" i="27" s="1"/>
  <c r="H21" i="36" s="1"/>
  <c r="C59" i="27"/>
  <c r="C60" i="27"/>
  <c r="C58" i="27"/>
  <c r="C55" i="27"/>
  <c r="H41" i="55" l="1"/>
  <c r="K41" i="55" s="1"/>
  <c r="K28" i="33"/>
  <c r="L28" i="33" s="1"/>
  <c r="C32" i="33"/>
  <c r="P18" i="71"/>
  <c r="AA38" i="55"/>
  <c r="H15" i="55"/>
  <c r="K15" i="55" s="1"/>
  <c r="Q13" i="55"/>
  <c r="AB42" i="53"/>
  <c r="D35" i="53"/>
  <c r="Q33" i="55" s="1"/>
  <c r="S33" i="55" s="1"/>
  <c r="AC42" i="53"/>
  <c r="AD42" i="53"/>
  <c r="P32" i="71"/>
  <c r="AA52" i="55"/>
  <c r="H29" i="55"/>
  <c r="K29" i="55" s="1"/>
  <c r="N4" i="53"/>
  <c r="M9" i="53"/>
  <c r="AA41" i="55"/>
  <c r="P21" i="71"/>
  <c r="H18" i="55"/>
  <c r="K18" i="55" s="1"/>
  <c r="AA40" i="55"/>
  <c r="P20" i="71"/>
  <c r="H17" i="55"/>
  <c r="K17" i="55" s="1"/>
  <c r="P24" i="71"/>
  <c r="AA44" i="55"/>
  <c r="H21" i="55"/>
  <c r="K21" i="55" s="1"/>
  <c r="P26" i="71"/>
  <c r="AA46" i="55"/>
  <c r="H23" i="55"/>
  <c r="K23" i="55" s="1"/>
  <c r="C68" i="27"/>
  <c r="H17" i="36" s="1"/>
  <c r="C66" i="27"/>
  <c r="C70" i="27"/>
  <c r="P25" i="71"/>
  <c r="AA45" i="55"/>
  <c r="H22" i="55"/>
  <c r="K22" i="55" s="1"/>
  <c r="AC48" i="55"/>
  <c r="P17" i="71"/>
  <c r="AA37" i="55"/>
  <c r="H14" i="55"/>
  <c r="K14" i="55" s="1"/>
  <c r="C71" i="27"/>
  <c r="H20" i="36" s="1"/>
  <c r="P58" i="71"/>
  <c r="D26" i="33"/>
  <c r="D32" i="33" s="1"/>
  <c r="L45" i="20"/>
  <c r="R45" i="20" s="1"/>
  <c r="L45" i="22"/>
  <c r="L45" i="19"/>
  <c r="W45" i="71"/>
  <c r="L28" i="19"/>
  <c r="W28" i="71"/>
  <c r="P23" i="71"/>
  <c r="AA43" i="55"/>
  <c r="H20" i="55"/>
  <c r="K20" i="55" s="1"/>
  <c r="P22" i="71"/>
  <c r="AA42" i="55"/>
  <c r="H19" i="55"/>
  <c r="K19" i="55" s="1"/>
  <c r="P19" i="71"/>
  <c r="AA39" i="55"/>
  <c r="H16" i="55"/>
  <c r="K16" i="55" s="1"/>
  <c r="L51" i="20"/>
  <c r="R51" i="20" s="1"/>
  <c r="L51" i="22"/>
  <c r="W51" i="71"/>
  <c r="L51" i="19"/>
  <c r="R51" i="19" s="1"/>
  <c r="H54" i="55" l="1"/>
  <c r="R28" i="19"/>
  <c r="L28" i="22"/>
  <c r="L28" i="20"/>
  <c r="R28" i="20" s="1"/>
  <c r="W20" i="71"/>
  <c r="L20" i="19"/>
  <c r="F13" i="55"/>
  <c r="Q32" i="55"/>
  <c r="AC42" i="55"/>
  <c r="L25" i="19"/>
  <c r="W25" i="71"/>
  <c r="AC46" i="55"/>
  <c r="L32" i="19"/>
  <c r="W32" i="71"/>
  <c r="AC38" i="55"/>
  <c r="W19" i="71"/>
  <c r="L19" i="19"/>
  <c r="I45" i="23"/>
  <c r="R45" i="22"/>
  <c r="L58" i="22"/>
  <c r="W17" i="71"/>
  <c r="L17" i="19"/>
  <c r="AC44" i="55"/>
  <c r="K42" i="69"/>
  <c r="L58" i="20"/>
  <c r="R58" i="20" s="1"/>
  <c r="AC39" i="55"/>
  <c r="AC37" i="55"/>
  <c r="C73" i="27"/>
  <c r="H19" i="36"/>
  <c r="L24" i="19"/>
  <c r="W24" i="71"/>
  <c r="AC41" i="55"/>
  <c r="K48" i="69"/>
  <c r="N48" i="69" s="1"/>
  <c r="P48" i="69" s="1"/>
  <c r="AC43" i="55"/>
  <c r="W23" i="71"/>
  <c r="L23" i="19"/>
  <c r="W58" i="71"/>
  <c r="I51" i="23"/>
  <c r="R51" i="22"/>
  <c r="W22" i="71"/>
  <c r="L22" i="19"/>
  <c r="R45" i="19"/>
  <c r="R58" i="19" s="1"/>
  <c r="L58" i="19"/>
  <c r="AC45" i="55"/>
  <c r="L26" i="19"/>
  <c r="W26" i="71"/>
  <c r="AC40" i="55"/>
  <c r="L21" i="19"/>
  <c r="W21" i="71"/>
  <c r="AC52" i="55"/>
  <c r="AE42" i="53"/>
  <c r="L18" i="19"/>
  <c r="W18" i="71"/>
  <c r="R58" i="22" l="1"/>
  <c r="L20" i="20"/>
  <c r="R20" i="20" s="1"/>
  <c r="L20" i="22"/>
  <c r="R20" i="19"/>
  <c r="L24" i="22"/>
  <c r="R24" i="19"/>
  <c r="L24" i="20"/>
  <c r="R24" i="20" s="1"/>
  <c r="I58" i="23"/>
  <c r="L22" i="22"/>
  <c r="R22" i="19"/>
  <c r="L22" i="20"/>
  <c r="R22" i="20" s="1"/>
  <c r="L17" i="20"/>
  <c r="R17" i="20" s="1"/>
  <c r="L17" i="22"/>
  <c r="R17" i="19"/>
  <c r="L32" i="22"/>
  <c r="R32" i="19"/>
  <c r="L32" i="20"/>
  <c r="R32" i="20" s="1"/>
  <c r="L21" i="20"/>
  <c r="R21" i="20" s="1"/>
  <c r="L21" i="22"/>
  <c r="R21" i="19"/>
  <c r="L26" i="20"/>
  <c r="R26" i="20" s="1"/>
  <c r="L26" i="22"/>
  <c r="R26" i="19"/>
  <c r="L23" i="20"/>
  <c r="R23" i="20" s="1"/>
  <c r="L23" i="22"/>
  <c r="R23" i="19"/>
  <c r="L19" i="22"/>
  <c r="R19" i="19"/>
  <c r="L19" i="20"/>
  <c r="R19" i="20" s="1"/>
  <c r="L25" i="22"/>
  <c r="L25" i="20"/>
  <c r="R25" i="20" s="1"/>
  <c r="R25" i="19"/>
  <c r="R28" i="22"/>
  <c r="I28" i="23"/>
  <c r="R18" i="19"/>
  <c r="L18" i="20"/>
  <c r="R18" i="20" s="1"/>
  <c r="L18" i="22"/>
  <c r="N42" i="69"/>
  <c r="K57" i="69"/>
  <c r="P16" i="71"/>
  <c r="F32" i="55"/>
  <c r="AA36" i="55"/>
  <c r="H13" i="55"/>
  <c r="K13" i="55" s="1"/>
  <c r="P35" i="71" l="1"/>
  <c r="P59" i="71" s="1"/>
  <c r="W16" i="71"/>
  <c r="W35" i="71" s="1"/>
  <c r="L16" i="19"/>
  <c r="B26" i="33"/>
  <c r="AC36" i="55"/>
  <c r="H32" i="55"/>
  <c r="K32" i="55" s="1"/>
  <c r="R18" i="22"/>
  <c r="I18" i="23"/>
  <c r="I19" i="23"/>
  <c r="R19" i="22"/>
  <c r="R21" i="22"/>
  <c r="I21" i="23"/>
  <c r="R20" i="22"/>
  <c r="I20" i="23"/>
  <c r="I26" i="23"/>
  <c r="R26" i="22"/>
  <c r="E1" i="57"/>
  <c r="C48" i="36"/>
  <c r="C10" i="57" s="1"/>
  <c r="R25" i="22"/>
  <c r="I25" i="23"/>
  <c r="I24" i="23"/>
  <c r="R24" i="22"/>
  <c r="I23" i="23"/>
  <c r="R23" i="22"/>
  <c r="I32" i="23"/>
  <c r="R32" i="22"/>
  <c r="AA55" i="55"/>
  <c r="F55" i="55"/>
  <c r="H55" i="55" s="1"/>
  <c r="K55" i="55" s="1"/>
  <c r="P42" i="69"/>
  <c r="P57" i="69" s="1"/>
  <c r="N57" i="69"/>
  <c r="R17" i="22"/>
  <c r="I17" i="23"/>
  <c r="I22" i="23"/>
  <c r="R22" i="22"/>
  <c r="W60" i="71" l="1"/>
  <c r="W59" i="71"/>
  <c r="W2" i="71" s="1"/>
  <c r="Q61" i="71"/>
  <c r="R62" i="71" s="1"/>
  <c r="R63" i="71" s="1"/>
  <c r="N20" i="23"/>
  <c r="H56" i="55"/>
  <c r="AC55" i="55"/>
  <c r="L16" i="22"/>
  <c r="L35" i="19"/>
  <c r="L59" i="19" s="1"/>
  <c r="L16" i="20"/>
  <c r="R16" i="19"/>
  <c r="R35" i="19" s="1"/>
  <c r="R59" i="19" s="1"/>
  <c r="N22" i="23"/>
  <c r="N32" i="23"/>
  <c r="N17" i="23"/>
  <c r="N24" i="23"/>
  <c r="N19" i="23"/>
  <c r="N23" i="23"/>
  <c r="N25" i="23"/>
  <c r="N21" i="23"/>
  <c r="N18" i="23"/>
  <c r="N26" i="23"/>
  <c r="K26" i="33"/>
  <c r="L26" i="33" s="1"/>
  <c r="L35" i="20" l="1"/>
  <c r="L59" i="20" s="1"/>
  <c r="R16" i="20"/>
  <c r="R35" i="20" s="1"/>
  <c r="T2" i="19"/>
  <c r="R60" i="19"/>
  <c r="I16" i="23"/>
  <c r="R16" i="22"/>
  <c r="R35" i="22" s="1"/>
  <c r="L35" i="22"/>
  <c r="L59" i="22" s="1"/>
  <c r="B31" i="33"/>
  <c r="T3" i="20" l="1"/>
  <c r="R59" i="20"/>
  <c r="I35" i="23"/>
  <c r="N16" i="23"/>
  <c r="N8" i="23" s="1"/>
  <c r="H1" i="69"/>
  <c r="H3" i="69" s="1"/>
  <c r="B32" i="33"/>
  <c r="I63" i="22" l="1"/>
  <c r="I64" i="22" s="1"/>
  <c r="N35" i="23"/>
  <c r="I59" i="23"/>
  <c r="O62" i="23" s="1"/>
  <c r="V3" i="23" l="1"/>
  <c r="Q16" i="23" s="1"/>
  <c r="Z16" i="23" s="1"/>
  <c r="O63" i="23"/>
  <c r="J31" i="33"/>
  <c r="K31" i="33" s="1"/>
  <c r="N59" i="23"/>
  <c r="I65" i="22"/>
  <c r="O7" i="69"/>
  <c r="O57" i="69" s="1"/>
  <c r="G8" i="22"/>
  <c r="G8" i="23" s="1"/>
  <c r="Q28" i="23" l="1"/>
  <c r="Z28" i="23" s="1"/>
  <c r="Q20" i="23"/>
  <c r="Z20" i="23" s="1"/>
  <c r="Q27" i="23"/>
  <c r="Z27" i="23" s="1"/>
  <c r="Q44" i="23"/>
  <c r="Z44" i="23" s="1"/>
  <c r="Q23" i="23"/>
  <c r="Z23" i="23" s="1"/>
  <c r="Q55" i="23"/>
  <c r="Z55" i="23" s="1"/>
  <c r="Q21" i="23"/>
  <c r="Z21" i="23" s="1"/>
  <c r="Q51" i="23"/>
  <c r="Z51" i="23" s="1"/>
  <c r="Q18" i="23"/>
  <c r="Z18" i="23" s="1"/>
  <c r="Q50" i="23"/>
  <c r="Z50" i="23" s="1"/>
  <c r="Q33" i="23"/>
  <c r="Z33" i="23" s="1"/>
  <c r="Q41" i="23"/>
  <c r="Z41" i="23" s="1"/>
  <c r="Q57" i="23"/>
  <c r="Z57" i="23" s="1"/>
  <c r="Q39" i="23"/>
  <c r="R39" i="23" s="1"/>
  <c r="Z40" i="23"/>
  <c r="Q30" i="23"/>
  <c r="Z30" i="23" s="1"/>
  <c r="Q19" i="23"/>
  <c r="Z19" i="23" s="1"/>
  <c r="Q56" i="23"/>
  <c r="Z56" i="23" s="1"/>
  <c r="Q29" i="23"/>
  <c r="Z29" i="23" s="1"/>
  <c r="Q46" i="23"/>
  <c r="Z46" i="23" s="1"/>
  <c r="Q31" i="23"/>
  <c r="Z31" i="23" s="1"/>
  <c r="Q54" i="23"/>
  <c r="Z54" i="23" s="1"/>
  <c r="Q42" i="23"/>
  <c r="Z42" i="23" s="1"/>
  <c r="Q25" i="23"/>
  <c r="Z25" i="23" s="1"/>
  <c r="Q47" i="23"/>
  <c r="Z47" i="23" s="1"/>
  <c r="Q32" i="23"/>
  <c r="Z32" i="23" s="1"/>
  <c r="Q22" i="23"/>
  <c r="Z22" i="23" s="1"/>
  <c r="Q34" i="23"/>
  <c r="Z34" i="23" s="1"/>
  <c r="Q26" i="23"/>
  <c r="Z26" i="23" s="1"/>
  <c r="Q48" i="23"/>
  <c r="Z48" i="23" s="1"/>
  <c r="Q49" i="23"/>
  <c r="Z49" i="23" s="1"/>
  <c r="Q52" i="23"/>
  <c r="Z52" i="23" s="1"/>
  <c r="Q45" i="23"/>
  <c r="Z45" i="23" s="1"/>
  <c r="Q24" i="23"/>
  <c r="Z24" i="23" s="1"/>
  <c r="Q17" i="23"/>
  <c r="Z17" i="23" s="1"/>
  <c r="Q53" i="23"/>
  <c r="Z53" i="23" s="1"/>
  <c r="Q43" i="23"/>
  <c r="Z43" i="23" s="1"/>
  <c r="Z39" i="23"/>
  <c r="R23" i="23"/>
  <c r="R19" i="23"/>
  <c r="I66" i="22"/>
  <c r="G59" i="22"/>
  <c r="R8" i="22"/>
  <c r="R59" i="22" s="1"/>
  <c r="T3" i="22" s="1"/>
  <c r="T4" i="22"/>
  <c r="R18" i="23"/>
  <c r="R57" i="23"/>
  <c r="R16" i="23"/>
  <c r="R34" i="23"/>
  <c r="R28" i="23"/>
  <c r="R55" i="23"/>
  <c r="R27" i="23"/>
  <c r="R33" i="23" l="1"/>
  <c r="R40" i="23"/>
  <c r="AG40" i="57" s="1"/>
  <c r="AB36" i="57" s="1"/>
  <c r="R20" i="23"/>
  <c r="AG20" i="57" s="1"/>
  <c r="R50" i="23"/>
  <c r="AG50" i="57" s="1"/>
  <c r="R31" i="23"/>
  <c r="R53" i="23"/>
  <c r="R29" i="23"/>
  <c r="AG29" i="57" s="1"/>
  <c r="R41" i="23"/>
  <c r="AG41" i="57" s="1"/>
  <c r="R51" i="23"/>
  <c r="AG51" i="57" s="1"/>
  <c r="R21" i="23"/>
  <c r="AG21" i="57" s="1"/>
  <c r="R44" i="23"/>
  <c r="AG44" i="57" s="1"/>
  <c r="R30" i="23"/>
  <c r="AG30" i="57" s="1"/>
  <c r="R56" i="23"/>
  <c r="AG56" i="57" s="1"/>
  <c r="R54" i="23"/>
  <c r="AG54" i="57" s="1"/>
  <c r="R25" i="23"/>
  <c r="AG25" i="57" s="1"/>
  <c r="R46" i="23"/>
  <c r="AG46" i="57" s="1"/>
  <c r="R32" i="23"/>
  <c r="E20" i="68" s="1"/>
  <c r="F20" i="68" s="1"/>
  <c r="R47" i="23"/>
  <c r="AG47" i="57" s="1"/>
  <c r="R17" i="23"/>
  <c r="E7" i="68" s="1"/>
  <c r="F7" i="68" s="1"/>
  <c r="R22" i="23"/>
  <c r="AG22" i="57" s="1"/>
  <c r="R42" i="23"/>
  <c r="AG42" i="57" s="1"/>
  <c r="R49" i="23"/>
  <c r="AG49" i="57" s="1"/>
  <c r="R26" i="23"/>
  <c r="E16" i="68" s="1"/>
  <c r="F16" i="68" s="1"/>
  <c r="R45" i="23"/>
  <c r="AG45" i="57" s="1"/>
  <c r="R43" i="23"/>
  <c r="AG43" i="57" s="1"/>
  <c r="R52" i="23"/>
  <c r="AG52" i="57" s="1"/>
  <c r="Q35" i="23"/>
  <c r="R24" i="23"/>
  <c r="E13" i="68" s="1"/>
  <c r="F13" i="68" s="1"/>
  <c r="R48" i="23"/>
  <c r="AG48" i="57" s="1"/>
  <c r="Q58" i="23"/>
  <c r="AG27" i="57"/>
  <c r="AG16" i="57"/>
  <c r="E6" i="68"/>
  <c r="F6" i="68" s="1"/>
  <c r="J11" i="33"/>
  <c r="G59" i="23"/>
  <c r="E12" i="68"/>
  <c r="F12" i="68" s="1"/>
  <c r="AG19" i="57"/>
  <c r="AG18" i="57"/>
  <c r="E11" i="68"/>
  <c r="F11" i="68" s="1"/>
  <c r="AG39" i="57"/>
  <c r="AG55" i="57"/>
  <c r="AG34" i="57"/>
  <c r="E19" i="68"/>
  <c r="F19" i="68" s="1"/>
  <c r="AG57" i="57"/>
  <c r="R61" i="22"/>
  <c r="R60" i="22"/>
  <c r="E10" i="68"/>
  <c r="F10" i="68" s="1"/>
  <c r="AG33" i="57"/>
  <c r="E18" i="68"/>
  <c r="F18" i="68" s="1"/>
  <c r="AG28" i="57"/>
  <c r="AG53" i="57"/>
  <c r="AG31" i="57"/>
  <c r="AG23" i="57"/>
  <c r="E8" i="68"/>
  <c r="AG17" i="57" l="1"/>
  <c r="AI17" i="57" s="1"/>
  <c r="E14" i="68"/>
  <c r="F14" i="68" s="1"/>
  <c r="AG24" i="57"/>
  <c r="AI24" i="57" s="1"/>
  <c r="E9" i="68"/>
  <c r="F9" i="68" s="1"/>
  <c r="AG32" i="57"/>
  <c r="AB19" i="57" s="1"/>
  <c r="AD19" i="57" s="1"/>
  <c r="Q8" i="23"/>
  <c r="R8" i="23" s="1"/>
  <c r="E15" i="68"/>
  <c r="F15" i="68" s="1"/>
  <c r="AG26" i="57"/>
  <c r="AB17" i="57" s="1"/>
  <c r="AD17" i="57" s="1"/>
  <c r="R58" i="23"/>
  <c r="AI23" i="57"/>
  <c r="AB14" i="57"/>
  <c r="AD14" i="57" s="1"/>
  <c r="AI48" i="57"/>
  <c r="AB44" i="57"/>
  <c r="AD44" i="57" s="1"/>
  <c r="AI25" i="57"/>
  <c r="AB16" i="57"/>
  <c r="AD16" i="57" s="1"/>
  <c r="AB20" i="57"/>
  <c r="AD20" i="57" s="1"/>
  <c r="AI34" i="57"/>
  <c r="AB51" i="57"/>
  <c r="AD51" i="57" s="1"/>
  <c r="AI55" i="57"/>
  <c r="AB22" i="57"/>
  <c r="AD22" i="57" s="1"/>
  <c r="AI30" i="57"/>
  <c r="AI44" i="57"/>
  <c r="AB40" i="57"/>
  <c r="AD40" i="57" s="1"/>
  <c r="AI31" i="57"/>
  <c r="AB33" i="57"/>
  <c r="AD33" i="57" s="1"/>
  <c r="AB47" i="57"/>
  <c r="AD47" i="57" s="1"/>
  <c r="AI51" i="57"/>
  <c r="AI52" i="57"/>
  <c r="AB48" i="57"/>
  <c r="AD48" i="57" s="1"/>
  <c r="AI46" i="57"/>
  <c r="AB42" i="57"/>
  <c r="AD42" i="57" s="1"/>
  <c r="AI28" i="57"/>
  <c r="AB18" i="57"/>
  <c r="AD18" i="57" s="1"/>
  <c r="AB11" i="57"/>
  <c r="AD11" i="57" s="1"/>
  <c r="AI20" i="57"/>
  <c r="AI54" i="57"/>
  <c r="AB50" i="57"/>
  <c r="AD50" i="57" s="1"/>
  <c r="AI42" i="57"/>
  <c r="AB38" i="57"/>
  <c r="AD38" i="57" s="1"/>
  <c r="AB12" i="57"/>
  <c r="AD12" i="57" s="1"/>
  <c r="AI21" i="57"/>
  <c r="AI41" i="57"/>
  <c r="AB37" i="57"/>
  <c r="AD37" i="57" s="1"/>
  <c r="AI50" i="57"/>
  <c r="AB46" i="57"/>
  <c r="AD46" i="57" s="1"/>
  <c r="AB45" i="57"/>
  <c r="AD45" i="57" s="1"/>
  <c r="AI49" i="57"/>
  <c r="AB10" i="57"/>
  <c r="AD10" i="57" s="1"/>
  <c r="AI19" i="57"/>
  <c r="AI56" i="57"/>
  <c r="AB52" i="57"/>
  <c r="AD52" i="57" s="1"/>
  <c r="J32" i="33"/>
  <c r="K11" i="33"/>
  <c r="AI16" i="57"/>
  <c r="AB7" i="57"/>
  <c r="AB34" i="57"/>
  <c r="AD34" i="57" s="1"/>
  <c r="AI33" i="57"/>
  <c r="AB53" i="57"/>
  <c r="AD53" i="57" s="1"/>
  <c r="AI57" i="57"/>
  <c r="AB9" i="57"/>
  <c r="AD9" i="57" s="1"/>
  <c r="AI18" i="57"/>
  <c r="AI53" i="57"/>
  <c r="AB49" i="57"/>
  <c r="AD49" i="57" s="1"/>
  <c r="F8" i="68"/>
  <c r="L8" i="68" s="1"/>
  <c r="L21" i="68" s="1"/>
  <c r="C12" i="67" s="1"/>
  <c r="K8" i="68"/>
  <c r="K21" i="68" s="1"/>
  <c r="C11" i="67" s="1"/>
  <c r="AI47" i="57"/>
  <c r="AB43" i="57"/>
  <c r="AD43" i="57" s="1"/>
  <c r="AI22" i="57"/>
  <c r="AB13" i="57"/>
  <c r="AD13" i="57" s="1"/>
  <c r="AB8" i="57"/>
  <c r="AD8" i="57" s="1"/>
  <c r="AB39" i="57"/>
  <c r="AD39" i="57" s="1"/>
  <c r="AI43" i="57"/>
  <c r="AB21" i="57"/>
  <c r="AD21" i="57" s="1"/>
  <c r="AI29" i="57"/>
  <c r="AI39" i="57"/>
  <c r="AB35" i="57"/>
  <c r="AD35" i="57" s="1"/>
  <c r="AG58" i="57"/>
  <c r="AB41" i="57"/>
  <c r="AD41" i="57" s="1"/>
  <c r="AI45" i="57"/>
  <c r="AB32" i="57"/>
  <c r="AD32" i="57" s="1"/>
  <c r="AI27" i="57"/>
  <c r="AI26" i="57" l="1"/>
  <c r="AB15" i="57"/>
  <c r="AD15" i="57" s="1"/>
  <c r="AI32" i="57"/>
  <c r="AI58" i="57"/>
  <c r="K34" i="33"/>
  <c r="L11" i="33"/>
  <c r="L32" i="33" s="1"/>
  <c r="K32" i="33"/>
  <c r="AD7" i="57"/>
  <c r="AI35" i="57" l="1"/>
  <c r="I33" i="33"/>
  <c r="G33" i="33"/>
  <c r="H33" i="33"/>
  <c r="E33" i="33"/>
  <c r="F33" i="33"/>
  <c r="C33" i="33"/>
  <c r="D33" i="33"/>
  <c r="B33" i="33"/>
  <c r="J33" i="33"/>
  <c r="K33" i="33" l="1"/>
  <c r="R15" i="23"/>
  <c r="R35" i="23" s="1"/>
  <c r="T4" i="23" l="1"/>
  <c r="Z8" i="23"/>
  <c r="Q59" i="23"/>
  <c r="AG15" i="57"/>
  <c r="AG35" i="57" l="1"/>
  <c r="AI15" i="57"/>
  <c r="AG8" i="57"/>
  <c r="R59" i="23"/>
  <c r="T3" i="23" s="1"/>
  <c r="AI6" i="57" l="1"/>
  <c r="AG59" i="57"/>
  <c r="AG61" i="57" s="1"/>
  <c r="AB57" i="57"/>
  <c r="AB60" i="57" s="1"/>
  <c r="C6" i="36"/>
  <c r="P36" i="72"/>
  <c r="Q36" i="72"/>
  <c r="S36" i="72" l="1"/>
  <c r="T36" i="72" s="1"/>
  <c r="W26" i="72"/>
  <c r="S28" i="72"/>
  <c r="T28" i="72" s="1"/>
  <c r="Q55" i="72"/>
  <c r="S55" i="72" s="1"/>
  <c r="T55" i="72" s="1"/>
  <c r="P58" i="72"/>
  <c r="Q58" i="72" l="1"/>
  <c r="S58" i="72" l="1"/>
  <c r="T58" i="72" s="1"/>
  <c r="P59" i="72"/>
  <c r="Q7" i="72"/>
  <c r="Q59" i="72" s="1"/>
  <c r="S59" i="72" s="1"/>
  <c r="T59" i="72" s="1"/>
  <c r="W44" i="72"/>
  <c r="W45" i="72" s="1"/>
</calcChain>
</file>

<file path=xl/comments1.xml><?xml version="1.0" encoding="utf-8"?>
<comments xmlns="http://schemas.openxmlformats.org/spreadsheetml/2006/main">
  <authors>
    <author>Real, Nicole</author>
    <author>Support</author>
  </authors>
  <commentList>
    <comment ref="AH29" authorId="0" shapeId="0">
      <text>
        <r>
          <rPr>
            <b/>
            <sz val="9"/>
            <color indexed="81"/>
            <rFont val="Tahoma"/>
            <family val="2"/>
          </rPr>
          <t>Real, Nicole:</t>
        </r>
        <r>
          <rPr>
            <sz val="9"/>
            <color indexed="81"/>
            <rFont val="Tahoma"/>
            <family val="2"/>
          </rPr>
          <t xml:space="preserve">
$690,500 for Centers &amp; Institutes 
$150,000 for Research Admin</t>
        </r>
      </text>
    </comment>
    <comment ref="AH40" authorId="0" shapeId="0">
      <text>
        <r>
          <rPr>
            <b/>
            <sz val="9"/>
            <color indexed="81"/>
            <rFont val="Tahoma"/>
            <family val="2"/>
          </rPr>
          <t>Real, Nicole:</t>
        </r>
        <r>
          <rPr>
            <sz val="9"/>
            <color indexed="81"/>
            <rFont val="Tahoma"/>
            <family val="2"/>
          </rPr>
          <t xml:space="preserve">
$690,500 for Centers &amp; Institutes 
$150,000 for Research Admin</t>
        </r>
      </text>
    </comment>
    <comment ref="I45" authorId="1" shapeId="0">
      <text>
        <r>
          <rPr>
            <b/>
            <sz val="9"/>
            <color rgb="FF000000"/>
            <rFont val="Tahoma"/>
            <family val="2"/>
          </rPr>
          <t>Support:</t>
        </r>
        <r>
          <rPr>
            <sz val="9"/>
            <color rgb="FF000000"/>
            <rFont val="Tahoma"/>
            <family val="2"/>
          </rPr>
          <t xml:space="preserve">
</t>
        </r>
        <r>
          <rPr>
            <sz val="11"/>
            <color rgb="FF000000"/>
            <rFont val="Tahoma"/>
            <family val="2"/>
          </rPr>
          <t xml:space="preserve">-1,695,414 - change in fee waivers
</t>
        </r>
        <r>
          <rPr>
            <sz val="11"/>
            <color rgb="FF000000"/>
            <rFont val="Tahoma"/>
            <family val="2"/>
          </rPr>
          <t xml:space="preserve">+144,500 - move Grad School fee
</t>
        </r>
        <r>
          <rPr>
            <sz val="11"/>
            <color rgb="FF000000"/>
            <rFont val="Tahoma"/>
            <family val="2"/>
          </rPr>
          <t xml:space="preserve">                   waivers to fee remissions
</t>
        </r>
        <r>
          <rPr>
            <sz val="11"/>
            <color rgb="FF000000"/>
            <rFont val="Tahoma"/>
            <family val="2"/>
          </rPr>
          <t xml:space="preserve">                   category
</t>
        </r>
        <r>
          <rPr>
            <sz val="11"/>
            <color rgb="FF000000"/>
            <rFont val="Tahoma"/>
            <family val="2"/>
          </rPr>
          <t xml:space="preserve">600,000 - Ecampus &amp; Summer
</t>
        </r>
        <r>
          <rPr>
            <sz val="11"/>
            <color rgb="FF000000"/>
            <rFont val="Tahoma"/>
            <family val="2"/>
          </rPr>
          <t>53,679 - Vet Med</t>
        </r>
      </text>
    </comment>
    <comment ref="AE52" authorId="0" shapeId="0">
      <text>
        <r>
          <rPr>
            <b/>
            <sz val="9"/>
            <color rgb="FF000000"/>
            <rFont val="Tahoma"/>
            <family val="2"/>
          </rPr>
          <t>Real, Nicole:</t>
        </r>
        <r>
          <rPr>
            <sz val="9"/>
            <color rgb="FF000000"/>
            <rFont val="Tahoma"/>
            <family val="2"/>
          </rPr>
          <t xml:space="preserve">
</t>
        </r>
        <r>
          <rPr>
            <sz val="9"/>
            <color rgb="FF000000"/>
            <rFont val="Tahoma"/>
            <family val="2"/>
          </rPr>
          <t>please remember that $600,000 of the $3,650,000 is considered Distributed Resources and the remaining $3,050,000 is in Departmental Resources. In FY19, the model included the $600,000 in Departmental but also listed the amount under Distributed so counted the amount twice for IM.</t>
        </r>
      </text>
    </comment>
  </commentList>
</comments>
</file>

<file path=xl/comments2.xml><?xml version="1.0" encoding="utf-8"?>
<comments xmlns="http://schemas.openxmlformats.org/spreadsheetml/2006/main">
  <authors>
    <author>Sherm Bloomer</author>
    <author>Real, Nicole</author>
    <author>Support</author>
  </authors>
  <commentList>
    <comment ref="P7" authorId="0" shapeId="0">
      <text>
        <r>
          <rPr>
            <b/>
            <sz val="10"/>
            <color indexed="81"/>
            <rFont val="Calibri"/>
            <family val="2"/>
          </rPr>
          <t>Sherm Bloomer:</t>
        </r>
        <r>
          <rPr>
            <sz val="10"/>
            <color indexed="81"/>
            <rFont val="Calibri"/>
            <family val="2"/>
          </rPr>
          <t xml:space="preserve">
1M placeholder for Bridge to Success and/or retention financial aid</t>
        </r>
      </text>
    </comment>
    <comment ref="P12" authorId="0" shapeId="0">
      <text>
        <r>
          <rPr>
            <b/>
            <sz val="10"/>
            <color rgb="FF000000"/>
            <rFont val="Tahoma"/>
            <family val="2"/>
          </rPr>
          <t>Sherm Bloomer:
$0.5M debt svc
$2,150,000 insurance increment
$950k OSUF</t>
        </r>
        <r>
          <rPr>
            <sz val="10"/>
            <color rgb="FF000000"/>
            <rFont val="Tahoma"/>
            <family val="2"/>
          </rPr>
          <t xml:space="preserve">
</t>
        </r>
      </text>
    </comment>
    <comment ref="N23" authorId="1" shapeId="0">
      <text>
        <r>
          <rPr>
            <b/>
            <sz val="9"/>
            <color indexed="81"/>
            <rFont val="Tahoma"/>
            <charset val="1"/>
          </rPr>
          <t>Real, Nicole:</t>
        </r>
        <r>
          <rPr>
            <sz val="9"/>
            <color indexed="81"/>
            <rFont val="Tahoma"/>
            <charset val="1"/>
          </rPr>
          <t xml:space="preserve">
Why is this one positive? </t>
        </r>
      </text>
    </comment>
    <comment ref="R29" authorId="0" shapeId="0">
      <text>
        <r>
          <rPr>
            <b/>
            <sz val="10"/>
            <color rgb="FF000000"/>
            <rFont val="Calibri"/>
            <family val="2"/>
          </rPr>
          <t xml:space="preserve">Sherm Bloomer:upport:  
</t>
        </r>
        <r>
          <rPr>
            <sz val="10"/>
            <color rgb="FF000000"/>
            <rFont val="Calibri"/>
            <family val="2"/>
          </rPr>
          <t>19,285,225 - FY17 Base
    187,337 - FY18 Raise rollover
    126,639 - Retirement benefit incr
   (312,226) - Budget Cut
178,434 FY19 Raise Rollup
1,350,088 FY19 7% increase over FY18 projections
 (700,000) - Fee Waivers
(392,309) FY19 rescission
106,593 from summer session transfer
1,392,495  7% growth estimate</t>
        </r>
        <r>
          <rPr>
            <b/>
            <sz val="10"/>
            <color rgb="FF000000"/>
            <rFont val="Calibri"/>
            <family val="2"/>
          </rPr>
          <t xml:space="preserve">
</t>
        </r>
        <r>
          <rPr>
            <sz val="10"/>
            <color rgb="FF000000"/>
            <rFont val="Calibri"/>
            <family val="2"/>
          </rPr>
          <t xml:space="preserve">
</t>
        </r>
      </text>
    </comment>
    <comment ref="R31" authorId="0" shapeId="0">
      <text>
        <r>
          <rPr>
            <b/>
            <sz val="10"/>
            <color rgb="FF000000"/>
            <rFont val="Tahoma"/>
            <family val="2"/>
          </rPr>
          <t>Sherm Bloomer:</t>
        </r>
        <r>
          <rPr>
            <sz val="10"/>
            <color rgb="FF000000"/>
            <rFont val="Tahoma"/>
            <family val="2"/>
          </rPr>
          <t xml:space="preserve">
</t>
        </r>
        <r>
          <rPr>
            <sz val="10"/>
            <color rgb="FF000000"/>
            <rFont val="Tahoma"/>
            <family val="2"/>
          </rPr>
          <t xml:space="preserve">Initial fee of 4.132,700
</t>
        </r>
        <r>
          <rPr>
            <sz val="10"/>
            <color rgb="FF000000"/>
            <rFont val="Tahoma"/>
            <family val="2"/>
          </rPr>
          <t xml:space="preserve">464000 to Student Affairs with International Student Faculty Svcs
</t>
        </r>
        <r>
          <rPr>
            <sz val="10"/>
            <color rgb="FF000000"/>
            <rFont val="Tahoma"/>
            <family val="2"/>
          </rPr>
          <t>3665200 to DUE with OSU GO</t>
        </r>
      </text>
    </comment>
    <comment ref="T50" authorId="2" shapeId="0">
      <text>
        <r>
          <rPr>
            <b/>
            <sz val="9"/>
            <color rgb="FF000000"/>
            <rFont val="Tahoma"/>
            <family val="2"/>
          </rPr>
          <t>Support:</t>
        </r>
        <r>
          <rPr>
            <sz val="9"/>
            <color rgb="FF000000"/>
            <rFont val="Tahoma"/>
            <family val="2"/>
          </rPr>
          <t xml:space="preserve">
</t>
        </r>
        <r>
          <rPr>
            <sz val="9"/>
            <color rgb="FF000000"/>
            <rFont val="Tahoma"/>
            <family val="2"/>
          </rPr>
          <t xml:space="preserve">637,000 - Research Office (Gen Adm)
</t>
        </r>
        <r>
          <rPr>
            <sz val="9"/>
            <color rgb="FF000000"/>
            <rFont val="Tahoma"/>
            <family val="2"/>
          </rPr>
          <t xml:space="preserve">700,000 - Research Adm (Sponsored Proj)
</t>
        </r>
        <r>
          <rPr>
            <sz val="9"/>
            <color rgb="FF000000"/>
            <rFont val="Tahoma"/>
            <family val="2"/>
          </rPr>
          <t xml:space="preserve">1,190,000 - (OPAA)
</t>
        </r>
        <r>
          <rPr>
            <sz val="9"/>
            <color rgb="FF000000"/>
            <rFont val="Tahoma"/>
            <family val="2"/>
          </rPr>
          <t>$150K for ROH</t>
        </r>
      </text>
    </comment>
    <comment ref="T53" authorId="2" shapeId="0">
      <text>
        <r>
          <rPr>
            <b/>
            <sz val="9"/>
            <color rgb="FF000000"/>
            <rFont val="Tahoma"/>
            <family val="2"/>
          </rPr>
          <t>Support:</t>
        </r>
        <r>
          <rPr>
            <sz val="9"/>
            <color rgb="FF000000"/>
            <rFont val="Tahoma"/>
            <family val="2"/>
          </rPr>
          <t xml:space="preserve">
</t>
        </r>
        <r>
          <rPr>
            <sz val="9"/>
            <color rgb="FF000000"/>
            <rFont val="Tahoma"/>
            <family val="2"/>
          </rPr>
          <t xml:space="preserve">924,000 - Bus Aff
</t>
        </r>
        <r>
          <rPr>
            <sz val="9"/>
            <color rgb="FF000000"/>
            <rFont val="Tahoma"/>
            <family val="2"/>
          </rPr>
          <t>1,190,000 - OPAA</t>
        </r>
      </text>
    </comment>
    <comment ref="T54" authorId="2" shapeId="0">
      <text>
        <r>
          <rPr>
            <b/>
            <sz val="9"/>
            <color rgb="FF000000"/>
            <rFont val="Tahoma"/>
            <family val="2"/>
          </rPr>
          <t>Support:</t>
        </r>
        <r>
          <rPr>
            <sz val="9"/>
            <color rgb="FF000000"/>
            <rFont val="Tahoma"/>
            <family val="2"/>
          </rPr>
          <t xml:space="preserve">
</t>
        </r>
        <r>
          <rPr>
            <sz val="9"/>
            <color rgb="FF000000"/>
            <rFont val="Tahoma"/>
            <family val="2"/>
          </rPr>
          <t xml:space="preserve">3,825,000 - O&amp;M
</t>
        </r>
        <r>
          <rPr>
            <sz val="9"/>
            <color rgb="FF000000"/>
            <rFont val="Tahoma"/>
            <family val="2"/>
          </rPr>
          <t xml:space="preserve">   900,000 - Bldg Allow
</t>
        </r>
        <r>
          <rPr>
            <sz val="9"/>
            <color rgb="FF000000"/>
            <rFont val="Tahoma"/>
            <family val="2"/>
          </rPr>
          <t xml:space="preserve">-600,000 - Move to Cap
</t>
        </r>
        <r>
          <rPr>
            <sz val="9"/>
            <color rgb="FF000000"/>
            <rFont val="Tahoma"/>
            <family val="2"/>
          </rPr>
          <t xml:space="preserve">                Planning
</t>
        </r>
        <r>
          <rPr>
            <sz val="9"/>
            <color rgb="FF000000"/>
            <rFont val="Tahoma"/>
            <family val="2"/>
          </rPr>
          <t xml:space="preserve">
</t>
        </r>
      </text>
    </comment>
  </commentList>
</comments>
</file>

<file path=xl/comments3.xml><?xml version="1.0" encoding="utf-8"?>
<comments xmlns="http://schemas.openxmlformats.org/spreadsheetml/2006/main">
  <authors>
    <author>Terri Cook</author>
  </authors>
  <commentList>
    <comment ref="Q6" authorId="0"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G33 + G34 on
           the IM page
</t>
        </r>
      </text>
    </comment>
  </commentList>
</comments>
</file>

<file path=xl/comments4.xml><?xml version="1.0" encoding="utf-8"?>
<comments xmlns="http://schemas.openxmlformats.org/spreadsheetml/2006/main">
  <authors>
    <author>Cindy Alexis</author>
    <author>Real, Nicole</author>
    <author>Nicci</author>
  </authors>
  <commentList>
    <comment ref="O23" authorId="0" shapeId="0">
      <text>
        <r>
          <rPr>
            <b/>
            <sz val="9"/>
            <color indexed="81"/>
            <rFont val="Tahoma"/>
            <family val="2"/>
          </rPr>
          <t>Cindy Alexis:</t>
        </r>
        <r>
          <rPr>
            <sz val="9"/>
            <color indexed="81"/>
            <rFont val="Tahoma"/>
            <family val="2"/>
          </rPr>
          <t xml:space="preserve">
This gets budgeted every year but is never used so rolls to reduce the operating reserve at the end of each year. I recommend removing it from IM.</t>
        </r>
      </text>
    </comment>
    <comment ref="O26" authorId="1" shapeId="0">
      <text>
        <r>
          <rPr>
            <b/>
            <sz val="9"/>
            <color indexed="81"/>
            <rFont val="Tahoma"/>
            <family val="2"/>
          </rPr>
          <t>Real, Nicole:</t>
        </r>
        <r>
          <rPr>
            <sz val="9"/>
            <color indexed="81"/>
            <rFont val="Tahoma"/>
            <family val="2"/>
          </rPr>
          <t xml:space="preserve">
convo with Doug and Steve, seems reasonable to leave at $1.5M</t>
        </r>
      </text>
    </comment>
    <comment ref="O36" authorId="1" shapeId="0">
      <text>
        <r>
          <rPr>
            <b/>
            <sz val="9"/>
            <color indexed="81"/>
            <rFont val="Tahoma"/>
            <charset val="1"/>
          </rPr>
          <t>Real, Nicole:</t>
        </r>
        <r>
          <rPr>
            <sz val="9"/>
            <color indexed="81"/>
            <rFont val="Tahoma"/>
            <charset val="1"/>
          </rPr>
          <t xml:space="preserve">
6/20/2019 - Per Mike and Ed, reduce contribution to foundation by $250k; wasn't sure what the split was for Alumni Assoc so just divided the $250k</t>
        </r>
      </text>
    </comment>
    <comment ref="L39" authorId="0" shapeId="0">
      <text>
        <r>
          <rPr>
            <sz val="9"/>
            <color indexed="81"/>
            <rFont val="Tahoma"/>
            <family val="2"/>
          </rPr>
          <t>In FY19:
USSE charges                        $ 53K
Treasury Bank charges            $105K
OR Ethics Comm                    $ 53K
Retirement Plan Mgmt            $250K
ASI Flex (PEBB Admin Fees)    $ 50K</t>
        </r>
      </text>
    </comment>
    <comment ref="M41" authorId="0" shapeId="0">
      <text>
        <r>
          <rPr>
            <b/>
            <sz val="9"/>
            <color indexed="81"/>
            <rFont val="Tahoma"/>
            <family val="2"/>
          </rPr>
          <t>Cindy Alexis:</t>
        </r>
        <r>
          <rPr>
            <sz val="9"/>
            <color indexed="81"/>
            <rFont val="Tahoma"/>
            <family val="2"/>
          </rPr>
          <t xml:space="preserve">
Do we need to add in the ~$110K Commitment for the China Recruiting Office?</t>
        </r>
      </text>
    </comment>
    <comment ref="O51" authorId="1" shapeId="0">
      <text>
        <r>
          <rPr>
            <b/>
            <sz val="9"/>
            <color indexed="81"/>
            <rFont val="Tahoma"/>
            <family val="2"/>
          </rPr>
          <t>Real, Nicole:</t>
        </r>
        <r>
          <rPr>
            <sz val="9"/>
            <color indexed="81"/>
            <rFont val="Tahoma"/>
            <family val="2"/>
          </rPr>
          <t xml:space="preserve">
HP:
 $        276,337.00  OpEx 
 $        190,313.00  Utilities 
 $        466,650.00  subtotal  
 $     </t>
        </r>
        <r>
          <rPr>
            <u/>
            <sz val="9"/>
            <color indexed="81"/>
            <rFont val="Tahoma"/>
            <family val="2"/>
          </rPr>
          <t xml:space="preserve"> (774,943.00)</t>
        </r>
        <r>
          <rPr>
            <sz val="9"/>
            <color indexed="81"/>
            <rFont val="Tahoma"/>
            <family val="2"/>
          </rPr>
          <t xml:space="preserve"> space leases received, highly volatile
 $      (308,293.00) Total 
UP: 
 $        420,525.00  Base Rent 
 $          76,410.00  Amort Cap Improvements
 $        496,935.00   subtotal 
 $     </t>
        </r>
        <r>
          <rPr>
            <u/>
            <sz val="9"/>
            <color indexed="81"/>
            <rFont val="Tahoma"/>
            <family val="2"/>
          </rPr>
          <t xml:space="preserve"> (277,568.00)</t>
        </r>
        <r>
          <rPr>
            <sz val="9"/>
            <color indexed="81"/>
            <rFont val="Tahoma"/>
            <family val="2"/>
          </rPr>
          <t xml:space="preserve">  space leases received 
 $        219,367.00  Total 
To be conservative, I am going to leave Oregon-wide leases at $600,000 which is a $250k reduction from FY19.</t>
        </r>
      </text>
    </comment>
    <comment ref="O52" authorId="1" shapeId="0">
      <text>
        <r>
          <rPr>
            <b/>
            <sz val="9"/>
            <color indexed="81"/>
            <rFont val="Tahoma"/>
            <family val="2"/>
          </rPr>
          <t>Real, Nicole:</t>
        </r>
        <r>
          <rPr>
            <sz val="9"/>
            <color indexed="81"/>
            <rFont val="Tahoma"/>
            <family val="2"/>
          </rPr>
          <t xml:space="preserve">
OpEx = $28,330/mo
Rent = $118,961.62 (Effective Aug 2019)
Annual operating expenses = $339,960/yr
FY20 Rent: 
1 mo @ $115,234.58
11 mo @ $118,961.62
= $1,423,812.40/yr
utilities &amp; prop tax = $22k/yr, OSFU reimburses ~ $12k = $10k
TOTAL OSU = $1,773,772
Less amount received from Foundation ($314,014)
Total after OSUF: $1,459,758.00 rounded up to $1,500,000
Questions - Amber Hoke</t>
        </r>
      </text>
    </comment>
    <comment ref="O75" authorId="2" shapeId="0">
      <text>
        <r>
          <rPr>
            <b/>
            <sz val="9"/>
            <color indexed="81"/>
            <rFont val="Tahoma"/>
            <family val="2"/>
          </rPr>
          <t>Nicci:</t>
        </r>
        <r>
          <rPr>
            <sz val="9"/>
            <color indexed="81"/>
            <rFont val="Tahoma"/>
            <family val="2"/>
          </rPr>
          <t xml:space="preserve">
$1,487,320 moved from Assessments plus incremental amount for FY19 of $64,980</t>
        </r>
      </text>
    </comment>
    <comment ref="P82" authorId="2" shapeId="0">
      <text>
        <r>
          <rPr>
            <b/>
            <sz val="9"/>
            <color indexed="81"/>
            <rFont val="Tahoma"/>
            <family val="2"/>
          </rPr>
          <t>Nicci:</t>
        </r>
        <r>
          <rPr>
            <sz val="9"/>
            <color indexed="81"/>
            <rFont val="Tahoma"/>
            <family val="2"/>
          </rPr>
          <t xml:space="preserve">
Less the tax of 7.4%
</t>
        </r>
      </text>
    </comment>
  </commentList>
</comments>
</file>

<file path=xl/comments5.xml><?xml version="1.0" encoding="utf-8"?>
<comments xmlns="http://schemas.openxmlformats.org/spreadsheetml/2006/main">
  <authors>
    <author>Real, Nicole</author>
    <author>Terri Cook</author>
    <author>Support</author>
    <author>Sherm Bloomer</author>
  </authors>
  <commentList>
    <comment ref="W18" authorId="0" shapeId="0">
      <text>
        <r>
          <rPr>
            <b/>
            <sz val="9"/>
            <color indexed="81"/>
            <rFont val="Tahoma"/>
            <charset val="1"/>
          </rPr>
          <t>Real, Nicole:</t>
        </r>
        <r>
          <rPr>
            <sz val="9"/>
            <color indexed="81"/>
            <rFont val="Tahoma"/>
            <charset val="1"/>
          </rPr>
          <t xml:space="preserve">
$8,851,368
($251,845)
$81,809 - FY19 Patti raise</t>
        </r>
      </text>
    </comment>
    <comment ref="C20" authorId="1" shapeId="0">
      <text>
        <r>
          <rPr>
            <b/>
            <sz val="8"/>
            <color rgb="FF000000"/>
            <rFont val="Tahoma"/>
            <family val="2"/>
          </rPr>
          <t xml:space="preserve">Commitment to Nieto hire for duration of his tenure as Dean; from original startup commitment
</t>
        </r>
        <r>
          <rPr>
            <sz val="8"/>
            <color rgb="FF000000"/>
            <rFont val="Tahoma"/>
            <family val="2"/>
          </rPr>
          <t xml:space="preserve">
</t>
        </r>
      </text>
    </comment>
    <comment ref="C22" authorId="1" shapeId="0">
      <text>
        <r>
          <rPr>
            <b/>
            <sz val="9"/>
            <color rgb="FF000000"/>
            <rFont val="Tahoma"/>
            <family val="2"/>
          </rPr>
          <t>Terri Cook:</t>
        </r>
        <r>
          <rPr>
            <sz val="9"/>
            <color rgb="FF000000"/>
            <rFont val="Tahoma"/>
            <family val="2"/>
          </rPr>
          <t xml:space="preserve">
$#00,000 Yr 3 of 3 Env. Humanities
(300,000) FY20 end of commitment</t>
        </r>
      </text>
    </comment>
    <comment ref="C23" authorId="2" shapeId="0">
      <text>
        <r>
          <rPr>
            <b/>
            <sz val="9"/>
            <color rgb="FF000000"/>
            <rFont val="Tahoma"/>
            <family val="2"/>
          </rPr>
          <t>Support:</t>
        </r>
        <r>
          <rPr>
            <sz val="9"/>
            <color rgb="FF000000"/>
            <rFont val="Tahoma"/>
            <family val="2"/>
          </rPr>
          <t xml:space="preserve">
</t>
        </r>
        <r>
          <rPr>
            <sz val="9"/>
            <color rgb="FF000000"/>
            <rFont val="Tahoma"/>
            <family val="2"/>
          </rPr>
          <t xml:space="preserve">Support for EVM position
</t>
        </r>
        <r>
          <rPr>
            <sz val="9"/>
            <color rgb="FF000000"/>
            <rFont val="Tahoma"/>
            <family val="2"/>
          </rPr>
          <t>to end of RVRV, SHB 6/19</t>
        </r>
      </text>
    </comment>
    <comment ref="C25" authorId="1" shapeId="0">
      <text>
        <r>
          <rPr>
            <b/>
            <sz val="9"/>
            <color rgb="FF000000"/>
            <rFont val="Tahoma"/>
            <family val="2"/>
          </rPr>
          <t>Terri Cook:</t>
        </r>
        <r>
          <rPr>
            <sz val="9"/>
            <color rgb="FF000000"/>
            <rFont val="Tahoma"/>
            <family val="2"/>
          </rPr>
          <t xml:space="preserve">
$500,000 support for Valley Chairs positions
$250,000 Higgenbotham support
$19,226 Pantula summer salary support
-19226 end of summer support
              </t>
        </r>
      </text>
    </comment>
    <comment ref="C26" authorId="1" shapeId="0">
      <text>
        <r>
          <rPr>
            <b/>
            <sz val="8"/>
            <color rgb="FF000000"/>
            <rFont val="Tahoma"/>
            <family val="2"/>
          </rPr>
          <t>Terri Cook:</t>
        </r>
        <r>
          <rPr>
            <sz val="8"/>
            <color rgb="FF000000"/>
            <rFont val="Tahoma"/>
            <family val="2"/>
          </rPr>
          <t xml:space="preserve">
-48,085 - Estimated fee waivers
168,913 from IM Faculty Tenure/Tenure Track positions FY16 
79,163 as 60% of base tuition for 16 non-residents.  Trying to track original agreement</t>
        </r>
      </text>
    </comment>
    <comment ref="C39" authorId="1" shapeId="0">
      <text>
        <r>
          <rPr>
            <b/>
            <sz val="9"/>
            <color rgb="FF000000"/>
            <rFont val="Tahoma"/>
            <family val="2"/>
          </rPr>
          <t>Terri Cook:
$300,000 -5th year of 5 years - Equity &amp; Inclusion - ADA 
   Assessment - FY18 is last year
-300,000 - Deferring FY18 amount to FY19
$300,000 - Funding FY19 based on FY18 Deferral above
$20,000 - Eastern Promise Replication Grant
-300,000-end of ADA commitment</t>
        </r>
      </text>
    </comment>
    <comment ref="C40" authorId="3" shapeId="0">
      <text>
        <r>
          <rPr>
            <b/>
            <sz val="10"/>
            <color indexed="81"/>
            <rFont val="Calibri"/>
            <family val="2"/>
          </rPr>
          <t>Sherm Bloomer:</t>
        </r>
        <r>
          <rPr>
            <sz val="10"/>
            <color indexed="81"/>
            <rFont val="Calibri"/>
            <family val="2"/>
          </rPr>
          <t xml:space="preserve">
FY20 balance of commitment to $8M
6/20/19 - Per Ed and Mike reduce by $250k</t>
        </r>
      </text>
    </comment>
    <comment ref="W40" authorId="0" shapeId="0">
      <text>
        <r>
          <rPr>
            <b/>
            <sz val="9"/>
            <color indexed="81"/>
            <rFont val="Tahoma"/>
            <charset val="1"/>
          </rPr>
          <t>Real, Nicole:</t>
        </r>
        <r>
          <rPr>
            <sz val="9"/>
            <color indexed="81"/>
            <rFont val="Tahoma"/>
            <charset val="1"/>
          </rPr>
          <t xml:space="preserve">
This ties to Cindy's budget model info FY19</t>
        </r>
      </text>
    </comment>
    <comment ref="D41" authorId="0" shapeId="0">
      <text>
        <r>
          <rPr>
            <b/>
            <sz val="9"/>
            <color indexed="81"/>
            <rFont val="Tahoma"/>
            <family val="2"/>
          </rPr>
          <t>Real, Nicole:</t>
        </r>
        <r>
          <rPr>
            <sz val="9"/>
            <color indexed="81"/>
            <rFont val="Tahoma"/>
            <family val="2"/>
          </rPr>
          <t xml:space="preserve">
Jackie Bangs funding from Office of President</t>
        </r>
      </text>
    </comment>
    <comment ref="C48" authorId="1" shapeId="0">
      <text>
        <r>
          <rPr>
            <b/>
            <sz val="8"/>
            <color rgb="FF000000"/>
            <rFont val="Tahoma"/>
            <family val="2"/>
          </rPr>
          <t>Terri Cook:</t>
        </r>
        <r>
          <rPr>
            <sz val="8"/>
            <color rgb="FF000000"/>
            <rFont val="Tahoma"/>
            <family val="2"/>
          </rPr>
          <t xml:space="preserve">
950,000 - new Graduate Fellowship &amp; Scholarship program
FY20 proportional reduction from FY19 budget recission</t>
        </r>
      </text>
    </comment>
    <comment ref="C50" authorId="2" shapeId="0">
      <text>
        <r>
          <rPr>
            <b/>
            <sz val="9"/>
            <color indexed="81"/>
            <rFont val="Tahoma"/>
            <family val="2"/>
          </rPr>
          <t>Support:</t>
        </r>
        <r>
          <rPr>
            <sz val="9"/>
            <color indexed="81"/>
            <rFont val="Tahoma"/>
            <family val="2"/>
          </rPr>
          <t xml:space="preserve">
100,000 - SMI contract (or other DC representation
327,000 - Wheat Commission
</t>
        </r>
      </text>
    </comment>
    <comment ref="C53" authorId="1" shapeId="0">
      <text>
        <r>
          <rPr>
            <b/>
            <sz val="9"/>
            <color indexed="81"/>
            <rFont val="Tahoma"/>
            <family val="2"/>
          </rPr>
          <t>Terri Cook:</t>
        </r>
        <r>
          <rPr>
            <sz val="9"/>
            <color indexed="81"/>
            <rFont val="Tahoma"/>
            <family val="2"/>
          </rPr>
          <t xml:space="preserve">
40,000 - Future Perfect contract (Budg Offc index)
26,585- P&amp;M (QBS010) - DAS shuttle
172,820 - Corvallis Transit pmt (Kavinda's)
108,500 - Albany Transit pmt (Kavinda's)
7,000 - incremental increase for Albany transit contract</t>
        </r>
      </text>
    </comment>
  </commentList>
</comments>
</file>

<file path=xl/comments6.xml><?xml version="1.0" encoding="utf-8"?>
<comments xmlns="http://schemas.openxmlformats.org/spreadsheetml/2006/main">
  <authors>
    <author>Real, Nicole</author>
  </authors>
  <commentList>
    <comment ref="D38" authorId="0" shapeId="0">
      <text>
        <r>
          <rPr>
            <b/>
            <sz val="9"/>
            <color indexed="81"/>
            <rFont val="Tahoma"/>
            <charset val="1"/>
          </rPr>
          <t>Real, Nicole:</t>
        </r>
        <r>
          <rPr>
            <sz val="9"/>
            <color indexed="81"/>
            <rFont val="Tahoma"/>
            <charset val="1"/>
          </rPr>
          <t xml:space="preserve">
DAS Shuttle - move to base</t>
        </r>
      </text>
    </comment>
  </commentList>
</comments>
</file>

<file path=xl/comments7.xml><?xml version="1.0" encoding="utf-8"?>
<comments xmlns="http://schemas.openxmlformats.org/spreadsheetml/2006/main">
  <authors>
    <author>Real, Nicole</author>
  </authors>
  <commentList>
    <comment ref="C39" authorId="0" shapeId="0">
      <text>
        <r>
          <rPr>
            <b/>
            <sz val="9"/>
            <color indexed="81"/>
            <rFont val="Tahoma"/>
            <charset val="1"/>
          </rPr>
          <t>Real, Nicole:</t>
        </r>
        <r>
          <rPr>
            <sz val="9"/>
            <color indexed="81"/>
            <rFont val="Tahoma"/>
            <charset val="1"/>
          </rPr>
          <t xml:space="preserve">
move to part of base</t>
        </r>
      </text>
    </comment>
    <comment ref="C43" authorId="0" shapeId="0">
      <text>
        <r>
          <rPr>
            <b/>
            <sz val="9"/>
            <color indexed="81"/>
            <rFont val="Tahoma"/>
            <charset val="1"/>
          </rPr>
          <t>Real, Nicole:</t>
        </r>
        <r>
          <rPr>
            <sz val="9"/>
            <color indexed="81"/>
            <rFont val="Tahoma"/>
            <charset val="1"/>
          </rPr>
          <t xml:space="preserve">
Move to part of base in FY19
</t>
        </r>
      </text>
    </comment>
  </commentList>
</comments>
</file>

<file path=xl/comments8.xml><?xml version="1.0" encoding="utf-8"?>
<comments xmlns="http://schemas.openxmlformats.org/spreadsheetml/2006/main">
  <authors>
    <author>Terri Cook</author>
  </authors>
  <commentList>
    <comment ref="F6" authorId="0"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G33 + G34 on
           the IM page
</t>
        </r>
      </text>
    </comment>
    <comment ref="AA6" authorId="0"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G33 + G34 on
           the IM page
</t>
        </r>
      </text>
    </comment>
  </commentList>
</comments>
</file>

<file path=xl/comments9.xml><?xml version="1.0" encoding="utf-8"?>
<comments xmlns="http://schemas.openxmlformats.org/spreadsheetml/2006/main">
  <authors>
    <author>Katz, Patty</author>
  </authors>
  <commentList>
    <comment ref="C11" authorId="0" shapeId="0">
      <text>
        <r>
          <rPr>
            <b/>
            <sz val="8"/>
            <color indexed="81"/>
            <rFont val="Tahoma"/>
            <family val="2"/>
          </rPr>
          <t>Katz, Patty:</t>
        </r>
        <r>
          <rPr>
            <sz val="8"/>
            <color indexed="81"/>
            <rFont val="Tahoma"/>
            <family val="2"/>
          </rPr>
          <t xml:space="preserve">
Excludes Greenhouse Operations</t>
        </r>
      </text>
    </comment>
    <comment ref="F11" authorId="0" shapeId="0">
      <text>
        <r>
          <rPr>
            <b/>
            <sz val="8"/>
            <color indexed="81"/>
            <rFont val="Tahoma"/>
            <family val="2"/>
          </rPr>
          <t>Katz, Patty:</t>
        </r>
        <r>
          <rPr>
            <sz val="8"/>
            <color indexed="81"/>
            <rFont val="Tahoma"/>
            <family val="2"/>
          </rPr>
          <t xml:space="preserve">
Excludes Greenhouse Operations</t>
        </r>
      </text>
    </comment>
    <comment ref="L11" authorId="0" shapeId="0">
      <text>
        <r>
          <rPr>
            <b/>
            <sz val="8"/>
            <color indexed="81"/>
            <rFont val="Tahoma"/>
            <family val="2"/>
          </rPr>
          <t>Katz, Patty:</t>
        </r>
        <r>
          <rPr>
            <sz val="8"/>
            <color indexed="81"/>
            <rFont val="Tahoma"/>
            <family val="2"/>
          </rPr>
          <t xml:space="preserve">
Excludes Greenhouse Operations</t>
        </r>
      </text>
    </comment>
  </commentList>
</comments>
</file>

<file path=xl/sharedStrings.xml><?xml version="1.0" encoding="utf-8"?>
<sst xmlns="http://schemas.openxmlformats.org/spreadsheetml/2006/main" count="6165" uniqueCount="1978">
  <si>
    <t>2012-13</t>
  </si>
  <si>
    <t>Vet Med</t>
  </si>
  <si>
    <t>Forestry</t>
  </si>
  <si>
    <t>CLA</t>
  </si>
  <si>
    <t>Science</t>
  </si>
  <si>
    <t>CEOAS</t>
  </si>
  <si>
    <t>Business</t>
  </si>
  <si>
    <t>Engineering</t>
  </si>
  <si>
    <t>Education</t>
  </si>
  <si>
    <t>PHHS</t>
  </si>
  <si>
    <t>Pharmacy</t>
  </si>
  <si>
    <t>Total:</t>
  </si>
  <si>
    <t>2013-14</t>
  </si>
  <si>
    <t>Total</t>
  </si>
  <si>
    <t>Graduate School</t>
  </si>
  <si>
    <t>Totals:</t>
  </si>
  <si>
    <t>Grad Degrees</t>
  </si>
  <si>
    <t>Liberal Arts</t>
  </si>
  <si>
    <t>Oregon State University</t>
  </si>
  <si>
    <t>Unit</t>
  </si>
  <si>
    <t>Description</t>
  </si>
  <si>
    <t>Index</t>
  </si>
  <si>
    <t>Inst Mgmt</t>
  </si>
  <si>
    <t>Budget Reserve</t>
  </si>
  <si>
    <t>ZARR91</t>
  </si>
  <si>
    <t>Assessments</t>
  </si>
  <si>
    <t>ZARA10</t>
  </si>
  <si>
    <t>Foundation Obligation</t>
  </si>
  <si>
    <t>Oregon-wide Leases</t>
  </si>
  <si>
    <t>ZARB10</t>
  </si>
  <si>
    <t>OSU Portland Center</t>
  </si>
  <si>
    <t>Debt Service - Various</t>
  </si>
  <si>
    <t>ZARIOU</t>
  </si>
  <si>
    <t>Debt Service - SELP Loan Repayment (Facilities)</t>
  </si>
  <si>
    <t>Assessments to be received from Aux, SWPS, INTO</t>
  </si>
  <si>
    <t>ZARC99</t>
  </si>
  <si>
    <t>ZARR11</t>
  </si>
  <si>
    <t>Bad Debt Expense</t>
  </si>
  <si>
    <t>ZARN10</t>
  </si>
  <si>
    <t>TouchNet Costs</t>
  </si>
  <si>
    <t>Compensated Absence Liability</t>
  </si>
  <si>
    <t>ZARN11</t>
  </si>
  <si>
    <t>ZARP10</t>
  </si>
  <si>
    <t>Insurance subsidy for classified employees</t>
  </si>
  <si>
    <t>INTO Fees - Matriculants from Pathway Program</t>
  </si>
  <si>
    <t>ZARR30</t>
  </si>
  <si>
    <t>INTO Fees - Direct Source</t>
  </si>
  <si>
    <t>International  Admissions</t>
  </si>
  <si>
    <t>ZARR40</t>
  </si>
  <si>
    <t>Research Audit Disallowance Reserve (1% of Recovery)</t>
  </si>
  <si>
    <t>ZARR50</t>
  </si>
  <si>
    <t>Contingency Fund</t>
  </si>
  <si>
    <t>ZARR71</t>
  </si>
  <si>
    <t>INTO</t>
  </si>
  <si>
    <t>MOU w/H&amp;D for use of space in Int'l LL Center</t>
  </si>
  <si>
    <t>Academic Units</t>
  </si>
  <si>
    <t>Information Svcs</t>
  </si>
  <si>
    <t>Emp Center</t>
  </si>
  <si>
    <t>Student Affairs</t>
  </si>
  <si>
    <t>Finance &amp; Admin</t>
  </si>
  <si>
    <t>Facilities</t>
  </si>
  <si>
    <t>OREGON STATE UNIVERSITY</t>
  </si>
  <si>
    <t>FY15</t>
  </si>
  <si>
    <t>FY14</t>
  </si>
  <si>
    <t>State-Targeted</t>
  </si>
  <si>
    <t>Ecampus</t>
  </si>
  <si>
    <t>Summer</t>
  </si>
  <si>
    <t>F&amp;A Recovery</t>
  </si>
  <si>
    <t>Budget Unit</t>
  </si>
  <si>
    <t>Programs</t>
  </si>
  <si>
    <t>Institutional Management:</t>
  </si>
  <si>
    <t>Instruction &amp;  Research</t>
  </si>
  <si>
    <t xml:space="preserve">    Agricultural Sciences</t>
  </si>
  <si>
    <t xml:space="preserve">    Business</t>
  </si>
  <si>
    <t xml:space="preserve">    Engineering</t>
  </si>
  <si>
    <t xml:space="preserve">    Forestry</t>
  </si>
  <si>
    <t xml:space="preserve">    Public Health &amp; Human Sciences</t>
  </si>
  <si>
    <t xml:space="preserve">    Education</t>
  </si>
  <si>
    <t xml:space="preserve">    Liberal Arts</t>
  </si>
  <si>
    <t xml:space="preserve">    Earth, Oceanic &amp; Atmospheric Sciences</t>
  </si>
  <si>
    <t xml:space="preserve">    Pharmacy</t>
  </si>
  <si>
    <t xml:space="preserve">    Science</t>
  </si>
  <si>
    <t xml:space="preserve">    Veterinary Medicine</t>
  </si>
  <si>
    <t xml:space="preserve">    Summer Session</t>
  </si>
  <si>
    <t xml:space="preserve">    University Honors College</t>
  </si>
  <si>
    <t xml:space="preserve">    Outreach &amp; Engagement</t>
  </si>
  <si>
    <t xml:space="preserve">    Extended Campus</t>
  </si>
  <si>
    <t xml:space="preserve">    Research Equipment Reserve</t>
  </si>
  <si>
    <t xml:space="preserve">    University Libraries</t>
  </si>
  <si>
    <t xml:space="preserve">    Research (Centers / Institutes / Programs)</t>
  </si>
  <si>
    <t xml:space="preserve">   Instruction &amp; Research Total</t>
  </si>
  <si>
    <t>Service, Support, and Management:</t>
  </si>
  <si>
    <t xml:space="preserve">    Office of the President</t>
  </si>
  <si>
    <t xml:space="preserve">    University Relations &amp; Marketing</t>
  </si>
  <si>
    <t xml:space="preserve">    Provost</t>
  </si>
  <si>
    <t xml:space="preserve">    Provost - Pass-through</t>
  </si>
  <si>
    <t xml:space="preserve">    Enrollment Management</t>
  </si>
  <si>
    <t xml:space="preserve">    Academic Affairs</t>
  </si>
  <si>
    <t xml:space="preserve">    Information Services </t>
  </si>
  <si>
    <t xml:space="preserve">    Research Administration</t>
  </si>
  <si>
    <t xml:space="preserve">    Student Affairs</t>
  </si>
  <si>
    <t xml:space="preserve">    University Business Centers</t>
  </si>
  <si>
    <t xml:space="preserve">    Finance and Administration</t>
  </si>
  <si>
    <t xml:space="preserve">    Facilities Services</t>
  </si>
  <si>
    <t xml:space="preserve">    Energy Operations</t>
  </si>
  <si>
    <t>Service, Support, and Management Total</t>
  </si>
  <si>
    <t xml:space="preserve">      Total Educational and General  Budget</t>
  </si>
  <si>
    <t>Distributed</t>
  </si>
  <si>
    <t>Departmental</t>
  </si>
  <si>
    <t>Resources</t>
  </si>
  <si>
    <t>Undergraduate</t>
  </si>
  <si>
    <t>Graduate</t>
  </si>
  <si>
    <t>Tuition Buydown Phase #2</t>
  </si>
  <si>
    <t>Vet Diagnostic Lab</t>
  </si>
  <si>
    <t>Natural Resource Institute</t>
  </si>
  <si>
    <t>Ocean Vessels Research</t>
  </si>
  <si>
    <t xml:space="preserve">        Endowment Match</t>
  </si>
  <si>
    <t xml:space="preserve">        Orbis</t>
  </si>
  <si>
    <t xml:space="preserve">        Faculty Diversity</t>
  </si>
  <si>
    <t xml:space="preserve">        Services to Students with Disabilities</t>
  </si>
  <si>
    <t>Oregon Climate Change Research Institute</t>
  </si>
  <si>
    <t>Fermentation Science</t>
  </si>
  <si>
    <t>Subtotal -  State Appropriation</t>
  </si>
  <si>
    <t>Tuition:</t>
  </si>
  <si>
    <t xml:space="preserve">  OSU - Corvallis </t>
  </si>
  <si>
    <t xml:space="preserve">  Extended Campus</t>
  </si>
  <si>
    <t xml:space="preserve">  Summer Term</t>
  </si>
  <si>
    <t>Subtotal -  Tuition</t>
  </si>
  <si>
    <t>Tuition Waivers</t>
  </si>
  <si>
    <t>Student Fees:</t>
  </si>
  <si>
    <t xml:space="preserve">  Resource Fees </t>
  </si>
  <si>
    <t xml:space="preserve">Other Student Fees </t>
  </si>
  <si>
    <t>Subtotal -  Student Fees</t>
  </si>
  <si>
    <t>Other Resources:</t>
  </si>
  <si>
    <t>Interest Revenue</t>
  </si>
  <si>
    <t>Debt Service Support on SELP Loans</t>
  </si>
  <si>
    <t>Subtotal -  Other Resources</t>
  </si>
  <si>
    <t xml:space="preserve">Total  Revenue </t>
  </si>
  <si>
    <t>Debt/Lease</t>
  </si>
  <si>
    <t>Foundation</t>
  </si>
  <si>
    <t>INTO/International</t>
  </si>
  <si>
    <t>Net assessments/USSE</t>
  </si>
  <si>
    <t>Bad debt increase</t>
  </si>
  <si>
    <t>Vacation liability increase</t>
  </si>
  <si>
    <t>Institution wide costs</t>
  </si>
  <si>
    <t>Information Services</t>
  </si>
  <si>
    <t>General Counsel</t>
  </si>
  <si>
    <t>Central Pools by Type:</t>
  </si>
  <si>
    <t>Hold out Tuition Reserve:</t>
  </si>
  <si>
    <t>Net contingency funds</t>
  </si>
  <si>
    <t>Research audit disallowance reserve</t>
  </si>
  <si>
    <t>Dedicated Purpose Funds</t>
  </si>
  <si>
    <t>Base tuition and other funds</t>
  </si>
  <si>
    <t>Targeted state funding</t>
  </si>
  <si>
    <t>Fees, sales, and services</t>
  </si>
  <si>
    <t>Endowment Match</t>
  </si>
  <si>
    <t>Academic Support Operations</t>
  </si>
  <si>
    <t>Student and Faculty Support</t>
  </si>
  <si>
    <t>Plant and Facilities Operations</t>
  </si>
  <si>
    <t>Institutional Operations</t>
  </si>
  <si>
    <t>Graduate SCH</t>
  </si>
  <si>
    <t>Combined Research Metric</t>
  </si>
  <si>
    <t>% Overhead on Dedicated Funds:</t>
  </si>
  <si>
    <t>Academic Support, Plant, Institutional Operations</t>
  </si>
  <si>
    <t>Overhead on dedicated funds, except F&amp;A</t>
  </si>
  <si>
    <t>Central Pools and Reserves and Executive</t>
  </si>
  <si>
    <t>Management and Support Operations</t>
  </si>
  <si>
    <t>Academic Ops</t>
  </si>
  <si>
    <t>Total Dedicated Purpose Funds</t>
  </si>
  <si>
    <t>Used to build up pieces of various allocations to units by building blocks</t>
  </si>
  <si>
    <t>Shows how distribution amounts were arrived at</t>
  </si>
  <si>
    <t xml:space="preserve"> </t>
  </si>
  <si>
    <t>Central pools and reserves</t>
  </si>
  <si>
    <t>F&amp;A recovery allocation</t>
  </si>
  <si>
    <t>Initial Budget:</t>
  </si>
  <si>
    <t>Remaining:</t>
  </si>
  <si>
    <t>yes</t>
  </si>
  <si>
    <t>Total Pool:</t>
  </si>
  <si>
    <t>UG Degrees</t>
  </si>
  <si>
    <t>Distributed to Academic Units:</t>
  </si>
  <si>
    <t>Subtotal</t>
  </si>
  <si>
    <t>Total Institutional Management</t>
  </si>
  <si>
    <t>Class and Lab Buildings:</t>
  </si>
  <si>
    <t>Crop Science</t>
  </si>
  <si>
    <t>Radiation Center</t>
  </si>
  <si>
    <t xml:space="preserve">Peavey </t>
  </si>
  <si>
    <t>Wiegand</t>
  </si>
  <si>
    <t>Richardson</t>
  </si>
  <si>
    <t>Dryden</t>
  </si>
  <si>
    <t xml:space="preserve">APPERSON HALL </t>
  </si>
  <si>
    <t xml:space="preserve">MERRYFIELD HALL </t>
  </si>
  <si>
    <t xml:space="preserve">KELLEY ENGINEERING CENTER </t>
  </si>
  <si>
    <t xml:space="preserve">GRAF HALL </t>
  </si>
  <si>
    <t xml:space="preserve">COVELL HALL </t>
  </si>
  <si>
    <t xml:space="preserve">BATCHELLER HALL </t>
  </si>
  <si>
    <t xml:space="preserve">DEARBORN HALL </t>
  </si>
  <si>
    <t xml:space="preserve">GILBERT HALL ADDITION </t>
  </si>
  <si>
    <t xml:space="preserve">SHEPARD HALL </t>
  </si>
  <si>
    <t xml:space="preserve">GILBERT HALL </t>
  </si>
  <si>
    <t xml:space="preserve">GLEESON HALL (Chem Engr) </t>
  </si>
  <si>
    <t xml:space="preserve">WENIGER HALL </t>
  </si>
  <si>
    <t xml:space="preserve">BEXELL HALL </t>
  </si>
  <si>
    <t xml:space="preserve">ROGERS HALL </t>
  </si>
  <si>
    <t xml:space="preserve">MILNE COMPUTER CENTER </t>
  </si>
  <si>
    <t xml:space="preserve">NASH HALL </t>
  </si>
  <si>
    <t xml:space="preserve">OWEN HALL </t>
  </si>
  <si>
    <t xml:space="preserve">BENTON HALL </t>
  </si>
  <si>
    <t xml:space="preserve">EDUCATION HALL </t>
  </si>
  <si>
    <t xml:space="preserve">PHARMACY </t>
  </si>
  <si>
    <t xml:space="preserve">KIDDER HALL </t>
  </si>
  <si>
    <t xml:space="preserve">THE VALLEY LIBRARY </t>
  </si>
  <si>
    <t xml:space="preserve">GILKEY HALL </t>
  </si>
  <si>
    <t xml:space="preserve">STRAND AGRICULTURE HALL </t>
  </si>
  <si>
    <t xml:space="preserve">KERR ADMINISTRATION BLDG </t>
  </si>
  <si>
    <t xml:space="preserve">BALLARD EXTENSION HALL </t>
  </si>
  <si>
    <t xml:space="preserve">BURT HALL </t>
  </si>
  <si>
    <t xml:space="preserve">BATES HALL (FAMILY STUDY CENTER) </t>
  </si>
  <si>
    <t xml:space="preserve">WILKINSON HALL/GILFILLAN AUD </t>
  </si>
  <si>
    <t xml:space="preserve">CORDLEY HALL </t>
  </si>
  <si>
    <t xml:space="preserve">WITHYCOMBE HALL </t>
  </si>
  <si>
    <t xml:space="preserve">AG LIFE SCIENCES </t>
  </si>
  <si>
    <t xml:space="preserve">MILAM HALL </t>
  </si>
  <si>
    <t xml:space="preserve">FAIRBANKS ANNEX </t>
  </si>
  <si>
    <t xml:space="preserve">GILMORE HALL </t>
  </si>
  <si>
    <t xml:space="preserve">WOMENS BUILDING </t>
  </si>
  <si>
    <t xml:space="preserve">FAIRBANKS HALL </t>
  </si>
  <si>
    <t xml:space="preserve">GILMORE ANNEX </t>
  </si>
  <si>
    <t xml:space="preserve">HOVLAND HALL </t>
  </si>
  <si>
    <t xml:space="preserve">SNELL HALL/MU EAST </t>
  </si>
  <si>
    <t xml:space="preserve">WALDO HALL </t>
  </si>
  <si>
    <t xml:space="preserve">LANGTON HALL </t>
  </si>
  <si>
    <t xml:space="preserve">MORELAND HALL </t>
  </si>
  <si>
    <t xml:space="preserve">HECKERT LODGE </t>
  </si>
  <si>
    <t xml:space="preserve">REED LODGE </t>
  </si>
  <si>
    <t xml:space="preserve">OCEAN ADMINISTRATION BLDG </t>
  </si>
  <si>
    <t xml:space="preserve">DAWES HOUSE </t>
  </si>
  <si>
    <t xml:space="preserve">MAGRUDER HALL </t>
  </si>
  <si>
    <t xml:space="preserve">CASCADE HALL </t>
  </si>
  <si>
    <t>Buildings that are class, laboratory, and office spaces</t>
  </si>
  <si>
    <t>Total count:</t>
  </si>
  <si>
    <t>Total sq. ft.:</t>
  </si>
  <si>
    <t>Austin Hall</t>
  </si>
  <si>
    <t>LPSC</t>
  </si>
  <si>
    <t>Bates Hall</t>
  </si>
  <si>
    <t>Students+Employees</t>
  </si>
  <si>
    <t>Grad students</t>
  </si>
  <si>
    <t>LD Weights</t>
  </si>
  <si>
    <t>UD Weights</t>
  </si>
  <si>
    <t>Unclassified Staff</t>
  </si>
  <si>
    <t>Measure</t>
  </si>
  <si>
    <t>Summer SCH</t>
  </si>
  <si>
    <t>Degree Foundations</t>
  </si>
  <si>
    <t>UD SCH</t>
  </si>
  <si>
    <t>Honors SCH</t>
  </si>
  <si>
    <t>Graduate Completions</t>
  </si>
  <si>
    <t>Off-site/other delivery SCH?</t>
  </si>
  <si>
    <t>Weighting factors for cost of degree or credit hour if used</t>
  </si>
  <si>
    <t>Contractual costs</t>
  </si>
  <si>
    <t>$ Per Measure</t>
  </si>
  <si>
    <t>Base E&amp;G Allocations</t>
  </si>
  <si>
    <t>$1000s of 3-yr avg awards</t>
  </si>
  <si>
    <t>Oregon State University Shared Responsibility Budget Model</t>
  </si>
  <si>
    <t>Corvallis Campus Education and General Funding</t>
  </si>
  <si>
    <t>Fiscal Year:</t>
  </si>
  <si>
    <t>Institutional Tuition Waivers</t>
  </si>
  <si>
    <t>Estimated Net E&amp;G Revenue</t>
  </si>
  <si>
    <t>Estimated Gross E&amp;G Revenues</t>
  </si>
  <si>
    <t>Support, Service, &amp; Management</t>
  </si>
  <si>
    <t>Dedicated purpose funds</t>
  </si>
  <si>
    <t>Dedicated, contractual, strategic and governance funding</t>
  </si>
  <si>
    <t>% of Budget</t>
  </si>
  <si>
    <t>Academic Program Delivery</t>
  </si>
  <si>
    <t>Estimate Net E&amp;G Revenue:</t>
  </si>
  <si>
    <t>Gross E&amp;G Revenues</t>
  </si>
  <si>
    <t>Less Institutional Tuition Waivers</t>
  </si>
  <si>
    <t>Net Estimated E&amp;G Revenues to Distribute</t>
  </si>
  <si>
    <t>Distribution of dedicated funding:</t>
  </si>
  <si>
    <t>Service, Support, Management Pool</t>
  </si>
  <si>
    <t>Percent of Total</t>
  </si>
  <si>
    <t>Support, Service,&amp; Management</t>
  </si>
  <si>
    <t>Undergraduate degree foundations</t>
  </si>
  <si>
    <t>Undergraduate degree and credential completions</t>
  </si>
  <si>
    <t>Graduate degree and credential completions</t>
  </si>
  <si>
    <t>Alternate delivery and new participants</t>
  </si>
  <si>
    <t>Externally funded research</t>
  </si>
  <si>
    <t>Strategic growth areas</t>
  </si>
  <si>
    <t>University Program Adjustments</t>
  </si>
  <si>
    <t>Academic and service delivery measures-based funding</t>
  </si>
  <si>
    <t>Degrees to URM Students</t>
  </si>
  <si>
    <t>Undergraduate completions</t>
  </si>
  <si>
    <t>Strategic Area</t>
  </si>
  <si>
    <t>% of Academic Pool</t>
  </si>
  <si>
    <t>Total Allocation</t>
  </si>
  <si>
    <t>Allocated:</t>
  </si>
  <si>
    <t xml:space="preserve">LD SCH </t>
  </si>
  <si>
    <t>CHECK SUM</t>
  </si>
  <si>
    <t>IS it OK?</t>
  </si>
  <si>
    <t>Less 10% Institutional Aid</t>
  </si>
  <si>
    <t>Net Undergraduate per SCH</t>
  </si>
  <si>
    <t>Ecampus Undergraduate per SCH</t>
  </si>
  <si>
    <t>Net Ecampus Undergraduate per SCH</t>
  </si>
  <si>
    <t>Net Graduate per SCH</t>
  </si>
  <si>
    <t>Ecampus Graduate per SCH</t>
  </si>
  <si>
    <t>Total allocated by Service, Support, and Management Measures:</t>
  </si>
  <si>
    <t>Balance left from pool (redistributed to academic pool):</t>
  </si>
  <si>
    <t>Alternate Delivery and new participants</t>
  </si>
  <si>
    <t>Proportions of Academic Pool Allocation by Metric:</t>
  </si>
  <si>
    <t>Contractual, Executive, Strategic Pools</t>
  </si>
  <si>
    <t>3.  Set service and support measures (these map to the "Serv Support Measures" Tab)</t>
  </si>
  <si>
    <r>
      <t>Academic Support Operations</t>
    </r>
    <r>
      <rPr>
        <b/>
        <vertAlign val="superscript"/>
        <sz val="10"/>
        <rFont val="Arial"/>
        <family val="2"/>
      </rPr>
      <t>1</t>
    </r>
  </si>
  <si>
    <r>
      <t>Student and Faculty Support</t>
    </r>
    <r>
      <rPr>
        <b/>
        <vertAlign val="superscript"/>
        <sz val="10"/>
        <rFont val="Arial"/>
        <family val="2"/>
      </rPr>
      <t>2</t>
    </r>
  </si>
  <si>
    <r>
      <t>Plant and Facilities Operations</t>
    </r>
    <r>
      <rPr>
        <b/>
        <vertAlign val="superscript"/>
        <sz val="10"/>
        <rFont val="Arial"/>
        <family val="2"/>
      </rPr>
      <t>3</t>
    </r>
  </si>
  <si>
    <r>
      <t>Institutional Operations</t>
    </r>
    <r>
      <rPr>
        <b/>
        <vertAlign val="superscript"/>
        <sz val="10"/>
        <rFont val="Arial"/>
        <family val="2"/>
      </rPr>
      <t>4</t>
    </r>
  </si>
  <si>
    <r>
      <t>Executive and Governance Functions</t>
    </r>
    <r>
      <rPr>
        <b/>
        <vertAlign val="superscript"/>
        <sz val="10"/>
        <rFont val="Arial"/>
        <family val="2"/>
      </rPr>
      <t>5</t>
    </r>
  </si>
  <si>
    <t>Library, Graduate School, Research Administration, International Programs, Information Services, Summer Session</t>
  </si>
  <si>
    <t>Business Centers, Finance &amp; Administration, University Relations and Marketing</t>
  </si>
  <si>
    <t>Veterinary Medicine</t>
  </si>
  <si>
    <t>Estimates of appropriate overhead rates and allocations for functions and fund sources:</t>
  </si>
  <si>
    <t>OSU</t>
  </si>
  <si>
    <t>Averge rates for major administrative support pools:</t>
  </si>
  <si>
    <t>Administrative Support Pools</t>
  </si>
  <si>
    <t>Functional Unit</t>
  </si>
  <si>
    <t>Base Pool</t>
  </si>
  <si>
    <t>Avg %</t>
  </si>
  <si>
    <t>Academic and Executive Leadership</t>
  </si>
  <si>
    <t>President's Office</t>
  </si>
  <si>
    <t>President</t>
  </si>
  <si>
    <t>All funds</t>
  </si>
  <si>
    <t>Govt Relations</t>
  </si>
  <si>
    <t>Univ. Relations</t>
  </si>
  <si>
    <t>Equity &amp; Inclusion</t>
  </si>
  <si>
    <t>Provost's Office</t>
  </si>
  <si>
    <t>Provost</t>
  </si>
  <si>
    <t>E&amp;G, SWPS, Roy., DesOps, Grant, Gift</t>
  </si>
  <si>
    <t>Provost Passthrough</t>
  </si>
  <si>
    <t>E&amp;G</t>
  </si>
  <si>
    <t>Athletics</t>
  </si>
  <si>
    <t>Academic Affairs</t>
  </si>
  <si>
    <t>Academic Success</t>
  </si>
  <si>
    <t>Faculty Development</t>
  </si>
  <si>
    <t>Academic Programs</t>
  </si>
  <si>
    <t>ROTC</t>
  </si>
  <si>
    <t>Inst. Research</t>
  </si>
  <si>
    <t>E&amp;G, SWPS</t>
  </si>
  <si>
    <t>Enterprise Computing</t>
  </si>
  <si>
    <t>Network Svcs</t>
  </si>
  <si>
    <t>Open Source Lab</t>
  </si>
  <si>
    <t>Outreach and Media</t>
  </si>
  <si>
    <t>Tech. Support Svcs</t>
  </si>
  <si>
    <t>Library</t>
  </si>
  <si>
    <t>E&amp;G, SWPS, Grant, Roy.</t>
  </si>
  <si>
    <t>Graduate Program Support</t>
  </si>
  <si>
    <t>E&amp;G, SWPS, Grant</t>
  </si>
  <si>
    <t>Outreach &amp; Engagement</t>
  </si>
  <si>
    <t>E-Campus</t>
  </si>
  <si>
    <t>Extension Service</t>
  </si>
  <si>
    <t>Prof &amp; Continuing Ed</t>
  </si>
  <si>
    <t>Summer Session</t>
  </si>
  <si>
    <t xml:space="preserve">Research </t>
  </si>
  <si>
    <t>Research Office</t>
  </si>
  <si>
    <t>Research Admin</t>
  </si>
  <si>
    <t>E&amp;G, SWPS, Grant, Gift, Roy.</t>
  </si>
  <si>
    <t>Student Services</t>
  </si>
  <si>
    <t>Enrollment Mgmt.</t>
  </si>
  <si>
    <t>Student Life</t>
  </si>
  <si>
    <t>Student Auxiliaries</t>
  </si>
  <si>
    <t>International Programs</t>
  </si>
  <si>
    <t>Int'l Programs</t>
  </si>
  <si>
    <t>Int'l Degree&amp;Ed Abroad</t>
  </si>
  <si>
    <t>Int'l Stud Advising &amp; Svcs</t>
  </si>
  <si>
    <t>Int'l Scholar&amp;Faculty Svcs</t>
  </si>
  <si>
    <t>Business Operations</t>
  </si>
  <si>
    <t>Admin Services</t>
  </si>
  <si>
    <t>Business Centers</t>
  </si>
  <si>
    <t>Business Affairs</t>
  </si>
  <si>
    <t>Cashier</t>
  </si>
  <si>
    <t>ID Center</t>
  </si>
  <si>
    <t>Payroll</t>
  </si>
  <si>
    <t>Accounting</t>
  </si>
  <si>
    <t>Student Finance</t>
  </si>
  <si>
    <t>OPAA</t>
  </si>
  <si>
    <t>Budget and Fiscal</t>
  </si>
  <si>
    <t>Human Resources</t>
  </si>
  <si>
    <t>Conference Svcs</t>
  </si>
  <si>
    <t>Public Safety</t>
  </si>
  <si>
    <t>Campus Operations</t>
  </si>
  <si>
    <t>Business Services</t>
  </si>
  <si>
    <t>E&amp;G, SWPS, Desi Ops, Grant, Gift, Roy.</t>
  </si>
  <si>
    <t>Energy Operations</t>
  </si>
  <si>
    <t>Energy</t>
  </si>
  <si>
    <t>Institutional Mgmt</t>
  </si>
  <si>
    <t>Pools, Reserves, etc.</t>
  </si>
  <si>
    <t>BUC</t>
  </si>
  <si>
    <t>Grant funds</t>
  </si>
  <si>
    <t>RERF</t>
  </si>
  <si>
    <t>Centers&amp;Institutes</t>
  </si>
  <si>
    <t>BUC and RERF taken off the top of F&amp;A Recovery</t>
  </si>
  <si>
    <t>Applied to Targeted Funds</t>
  </si>
  <si>
    <t>Research</t>
  </si>
  <si>
    <t>Business Affairs, F&amp;A</t>
  </si>
  <si>
    <t>All service credits to Foundation?</t>
  </si>
  <si>
    <t>Ecampus SCH</t>
  </si>
  <si>
    <t>Total SCH:</t>
  </si>
  <si>
    <t>UD Service SCH</t>
  </si>
  <si>
    <t>Grad Service SCH</t>
  </si>
  <si>
    <t>TOTAL</t>
  </si>
  <si>
    <t>Reserve for Ecampus Tuition Settle-up</t>
  </si>
  <si>
    <t>ZARN18</t>
  </si>
  <si>
    <t>Reserve for Summer Tuition Settle-up</t>
  </si>
  <si>
    <t>ZARN13</t>
  </si>
  <si>
    <t>Risk premiums increase</t>
  </si>
  <si>
    <t>ROH Settleup</t>
  </si>
  <si>
    <t>Faculty positions to distribute</t>
  </si>
  <si>
    <t>Graduate Cost Reserves</t>
  </si>
  <si>
    <t xml:space="preserve">Salary Raise  Reserve Pools </t>
  </si>
  <si>
    <t xml:space="preserve">Grad Tui &amp; Fee Remission Reserve </t>
  </si>
  <si>
    <t>Classified insurance subsidy</t>
  </si>
  <si>
    <t>FY16</t>
  </si>
  <si>
    <t>Public University Support Fund</t>
  </si>
  <si>
    <t>Outcomes Funding Allocation</t>
  </si>
  <si>
    <t>SCH Funding Allocation</t>
  </si>
  <si>
    <t>Stop Loss/Stop gain</t>
  </si>
  <si>
    <t>Mission  Differentiation Funds</t>
  </si>
  <si>
    <t>Research Support</t>
  </si>
  <si>
    <t>Mission Support</t>
  </si>
  <si>
    <t>Pharmacy Differential</t>
  </si>
  <si>
    <t>Vet Med Differential</t>
  </si>
  <si>
    <t>SWPS Bldg Maintenance</t>
  </si>
  <si>
    <t>Engineering Graduate Support</t>
  </si>
  <si>
    <t>Systemwide Expenses/Programs:</t>
  </si>
  <si>
    <t>Subtotal Public University Support Fund</t>
  </si>
  <si>
    <t>State Programs Funding</t>
  </si>
  <si>
    <t>Engineering - ETIC</t>
  </si>
  <si>
    <t>Signature Research Centers</t>
  </si>
  <si>
    <t>Subtotal Res Undergraduate</t>
  </si>
  <si>
    <t>Subtotal NR Undergraduate</t>
  </si>
  <si>
    <t>Subtotal Res Graduate</t>
  </si>
  <si>
    <t>Subtotal NR Graduate</t>
  </si>
  <si>
    <t>OSU-UO Center for Advanced Wood Products</t>
  </si>
  <si>
    <t>Subtotal VetMed</t>
  </si>
  <si>
    <t>Subtotal Pharmacy</t>
  </si>
  <si>
    <t>Subtotal Miscellaneous</t>
  </si>
  <si>
    <t>Ecampus tuition</t>
  </si>
  <si>
    <t>Subtotal State Program &amp; Other Funding</t>
  </si>
  <si>
    <t>Ecampus fee (approx)</t>
  </si>
  <si>
    <t>Waivers*</t>
  </si>
  <si>
    <t>Total Net Tuition</t>
  </si>
  <si>
    <t>F&amp;A Rate Recovery/Returned Overhead</t>
  </si>
  <si>
    <t xml:space="preserve">    Undergraduate Studies</t>
  </si>
  <si>
    <t xml:space="preserve">    Facilities Services O&amp;M</t>
  </si>
  <si>
    <t xml:space="preserve">    Risk Management</t>
  </si>
  <si>
    <t xml:space="preserve">    Capital Planning &amp; Development</t>
  </si>
  <si>
    <t xml:space="preserve">    International Programs </t>
  </si>
  <si>
    <t>Interdisciplinary Graduate Programs</t>
  </si>
  <si>
    <t xml:space="preserve">    Graduate School Administration</t>
  </si>
  <si>
    <t>Tuition settleups (Ecampus, Summer,differential, INTO)</t>
  </si>
  <si>
    <t>Salary and Benefit Pools</t>
  </si>
  <si>
    <t>Initital redistributions to units</t>
  </si>
  <si>
    <t>Contingency and strategic funds</t>
  </si>
  <si>
    <t>Contingency and reserve funds</t>
  </si>
  <si>
    <t>Contractual, debt, other costs</t>
  </si>
  <si>
    <t>Strategic/Policy Distributions (reserves for non-recurring commitments):</t>
  </si>
  <si>
    <t>Strategic allocations</t>
  </si>
  <si>
    <t>Total Institutional Management Pools and Reserves:</t>
  </si>
  <si>
    <t>Reserves to be distributed to Academic Units</t>
  </si>
  <si>
    <t>Academic reserve funds (tuition, ROH, etc.)</t>
  </si>
  <si>
    <t>Salary and Benefit Pools to be distributed</t>
  </si>
  <si>
    <t>Distributed to Units from Original IM:</t>
  </si>
  <si>
    <t>Total Original IM :</t>
  </si>
  <si>
    <t>Contingency and Reserve Funds</t>
  </si>
  <si>
    <t xml:space="preserve">Enrollment Projection Reserve Pool </t>
  </si>
  <si>
    <t>Pools For Academic Unit Distribution</t>
  </si>
  <si>
    <t>Pools for Salary and Benefit Increases</t>
  </si>
  <si>
    <t>Contractual obligations</t>
  </si>
  <si>
    <t>Undergraduate Studies</t>
  </si>
  <si>
    <t xml:space="preserve">    Graduate SchoolAdministration</t>
  </si>
  <si>
    <t>Capital Planning and Development</t>
  </si>
  <si>
    <t>Contingency Funds or Strategic Funds</t>
  </si>
  <si>
    <t>Amount</t>
  </si>
  <si>
    <t>Eastern Promise Replication Grant</t>
  </si>
  <si>
    <t>Diversity</t>
  </si>
  <si>
    <t>Wheat Commission</t>
  </si>
  <si>
    <t>Promise Program</t>
  </si>
  <si>
    <t>University Days</t>
  </si>
  <si>
    <t>Pharmacy tuition support (former high RAM addition)</t>
  </si>
  <si>
    <t>Vet Med tuition support (former high RAM addition),Vet Diagnostic Lab</t>
  </si>
  <si>
    <t>Support for ORBIS participation</t>
  </si>
  <si>
    <t>The detailed calculations on differential tuition are available in a separate worksheet</t>
  </si>
  <si>
    <t>E&amp;G Assignable Sq. Ft.</t>
  </si>
  <si>
    <t>Total expenditures</t>
  </si>
  <si>
    <t>Grant Expenditures</t>
  </si>
  <si>
    <t>Cascades</t>
  </si>
  <si>
    <t>99 - Unknown</t>
  </si>
  <si>
    <t>Students+10*Tenure rank</t>
  </si>
  <si>
    <t>Undergraduate students</t>
  </si>
  <si>
    <t>Total F&amp;A Recovery</t>
  </si>
  <si>
    <t>Research Activity Allocation:</t>
  </si>
  <si>
    <t>Pool:</t>
  </si>
  <si>
    <t>Grant Expenditure Weight:</t>
  </si>
  <si>
    <t>Total F&amp;A Recovery Weight:</t>
  </si>
  <si>
    <t>DATA</t>
  </si>
  <si>
    <t>Service Credit Hour summaries for Academic Units:</t>
  </si>
  <si>
    <t>YES</t>
  </si>
  <si>
    <t>Include PAC SCH?</t>
  </si>
  <si>
    <t>LD Weight</t>
  </si>
  <si>
    <t>UD Weight</t>
  </si>
  <si>
    <t>Grad Weight</t>
  </si>
  <si>
    <t>2013</t>
  </si>
  <si>
    <t>2014</t>
  </si>
  <si>
    <t>2015</t>
  </si>
  <si>
    <t>2016</t>
  </si>
  <si>
    <t>PAC Hours</t>
  </si>
  <si>
    <t>Academic Year,all sites except Ecampus,  Lower Division, taught to majors</t>
  </si>
  <si>
    <t>Agricultural Sciences</t>
  </si>
  <si>
    <t>Public Health and Human Sciences</t>
  </si>
  <si>
    <t>Earth, Ocean, and Atmospheric Sciences</t>
  </si>
  <si>
    <t>Defense Education</t>
  </si>
  <si>
    <t>Interdisciplinary Programs (or international)</t>
  </si>
  <si>
    <t>Honors College</t>
  </si>
  <si>
    <t>Academic Learning Services (UESP)</t>
  </si>
  <si>
    <t>Overseas Study</t>
  </si>
  <si>
    <t>Academic Year,all sites except Ecampus,  Lower Division, taught to non-majors</t>
  </si>
  <si>
    <t>Academic Year,all sites except Ecampus,  Upper Division, taught to majors</t>
  </si>
  <si>
    <t>Academic Year,all sites except Ecampus,  Upper Division, taught to non-majors</t>
  </si>
  <si>
    <t>Upper division total</t>
  </si>
  <si>
    <t>Checksum</t>
  </si>
  <si>
    <t>Academic Year,all sites except Ecampus,  Honors College SCH level 04</t>
  </si>
  <si>
    <t>Academic Year,all sites except Ecampus,  Graduate and Professional, taught to majors</t>
  </si>
  <si>
    <t>Academic Year,all sites except Ecampus,  Graduate and Professional, taught to non-majors</t>
  </si>
  <si>
    <t>Grad division total</t>
  </si>
  <si>
    <t>Total Attempted</t>
  </si>
  <si>
    <t>Three-year total SCH</t>
  </si>
  <si>
    <t>RAW SCH DATA:</t>
  </si>
  <si>
    <t>Weighted Three-year Aggregate SCH</t>
  </si>
  <si>
    <t xml:space="preserve">PAC </t>
  </si>
  <si>
    <t>Share of Foundation Credit Hour Support Pool</t>
  </si>
  <si>
    <t>ALS</t>
  </si>
  <si>
    <t>ID Programs</t>
  </si>
  <si>
    <t>Dollars in Degree Foundation Pool:</t>
  </si>
  <si>
    <t>Honors College Academic Year Credit Hours by Course Designator Home College</t>
  </si>
  <si>
    <t>Honors College Credit Hour summaries for Academic Units:</t>
  </si>
  <si>
    <t>Dollars in Undergraduate Completions Pool:</t>
  </si>
  <si>
    <t>% to Degrees</t>
  </si>
  <si>
    <t>% to UD SCH</t>
  </si>
  <si>
    <t>Degrees Awarded Total Summer, Fall, Winter, Spring</t>
  </si>
  <si>
    <t>2014-15</t>
  </si>
  <si>
    <t>2015-16</t>
  </si>
  <si>
    <t>Bachelors</t>
  </si>
  <si>
    <t>Equivalent degrees from minors (divided by 5 for years, divided by 5 for effort)</t>
  </si>
  <si>
    <t>College Average Discipline Weights</t>
  </si>
  <si>
    <t>Weights  used within pools for:</t>
  </si>
  <si>
    <t>Capped Undergrad Degrees &amp; SCH</t>
  </si>
  <si>
    <t>Share of Undergraduate Completion Degree Pool</t>
  </si>
  <si>
    <t>Share of Undergraduate Degree Completion Credit Hour Support Pool</t>
  </si>
  <si>
    <t>Degree Share</t>
  </si>
  <si>
    <t>SCH Share</t>
  </si>
  <si>
    <t>Dollar Allocation</t>
  </si>
  <si>
    <t>Share weight by Degree/SCH Split</t>
  </si>
  <si>
    <t>Undergraduate Degree Completion Allocation summaries for Academic Units:</t>
  </si>
  <si>
    <t>Graduate Degree Completion Allocation summaries for Academic Units:</t>
  </si>
  <si>
    <t>% to Grad SCH</t>
  </si>
  <si>
    <t>Certificates and credentials awarded --use a factor of 5 to convert to degrees</t>
  </si>
  <si>
    <t>GRAD 1 Weights</t>
  </si>
  <si>
    <t>GRAD 2 Weights</t>
  </si>
  <si>
    <t>Doctorate Degrees</t>
  </si>
  <si>
    <t>Masters and Professional Degrees</t>
  </si>
  <si>
    <t>Weighted Doctorate Degrees</t>
  </si>
  <si>
    <t>Weighted MS/Professional Degrees</t>
  </si>
  <si>
    <t>Certificates/credentials awarded</t>
  </si>
  <si>
    <t>Graduate/Professional Credit Hours</t>
  </si>
  <si>
    <t>Share of Weighted Degrees with certificates</t>
  </si>
  <si>
    <t>Share of Weighted Graduate/Professional Credit Hours</t>
  </si>
  <si>
    <t xml:space="preserve"> Weights</t>
  </si>
  <si>
    <t>Net</t>
  </si>
  <si>
    <t>Ecampus  credit hour allocation (summer and academic year)</t>
  </si>
  <si>
    <t>Ecampus to on campus students included in Foundations?</t>
  </si>
  <si>
    <t>Strategic Populations Allocation Pool</t>
  </si>
  <si>
    <t>Degrees Awarded</t>
  </si>
  <si>
    <t>Degrees to International Students</t>
  </si>
  <si>
    <t>Degrees to Underrepresented Minority Students</t>
  </si>
  <si>
    <t>Degrees to Pell Recipients</t>
  </si>
  <si>
    <t>Degrees  2013-14</t>
  </si>
  <si>
    <t>Degrees  2014-15</t>
  </si>
  <si>
    <t>MAIS</t>
  </si>
  <si>
    <t>MS</t>
  </si>
  <si>
    <t>Applied Economics</t>
  </si>
  <si>
    <t>MCB</t>
  </si>
  <si>
    <t>Water Resource Engineering</t>
  </si>
  <si>
    <t>Environmental Sciences</t>
  </si>
  <si>
    <t>Water Resource Policy &amp; Mgt</t>
  </si>
  <si>
    <t>Water Resources Science</t>
  </si>
  <si>
    <t>Ph.D.</t>
  </si>
  <si>
    <t>Economics</t>
  </si>
  <si>
    <t>PSM</t>
  </si>
  <si>
    <t>Applied Biotechnology</t>
  </si>
  <si>
    <t>Certificate</t>
  </si>
  <si>
    <t>College and Univ Teaching</t>
  </si>
  <si>
    <t>MA</t>
  </si>
  <si>
    <t>Total Masters</t>
  </si>
  <si>
    <t>Total Doctorate</t>
  </si>
  <si>
    <t>Interdisciplinary Graduate Degrees:</t>
  </si>
  <si>
    <t>Additional Weighting:</t>
  </si>
  <si>
    <t>Proportion to college of major professor:</t>
  </si>
  <si>
    <t>Proportion to interdisciplinary program:</t>
  </si>
  <si>
    <t>Grad Schl</t>
  </si>
  <si>
    <t>Agriculture</t>
  </si>
  <si>
    <t>Total Certificate</t>
  </si>
  <si>
    <t>Degrees by Program</t>
  </si>
  <si>
    <t>Degree Weights</t>
  </si>
  <si>
    <t>Interdisciplinary Weight to College</t>
  </si>
  <si>
    <t>Total MastersApplied Economics</t>
  </si>
  <si>
    <t>Total Doctorate Applied Economics</t>
  </si>
  <si>
    <t>Dollars in Strategic Populations  Pool:</t>
  </si>
  <si>
    <t>Weights for Strategic Populations:</t>
  </si>
  <si>
    <t>For TREND function</t>
  </si>
  <si>
    <t>Total Weighted Degrees to Strategic Populations</t>
  </si>
  <si>
    <t>Share of Weighted Degrees</t>
  </si>
  <si>
    <t>Degree Foundations plus Honors</t>
  </si>
  <si>
    <t xml:space="preserve">Undergrad Completions </t>
  </si>
  <si>
    <t>Alternative Delivery (Ecampus plus Summer)</t>
  </si>
  <si>
    <t>Strategic Populations and Cascades</t>
  </si>
  <si>
    <t>New Grant Awards by Index</t>
  </si>
  <si>
    <t>Total New Grant Awards:</t>
  </si>
  <si>
    <t>These data are pulled from each sheet that calculations the allocations;</t>
  </si>
  <si>
    <t>the Research Allocation is copied directly to the table at the left;</t>
  </si>
  <si>
    <t>Cascades Incentive Allocation (credit hours taught at Cascades campus)</t>
  </si>
  <si>
    <t>Dollars in Cascades Pool:</t>
  </si>
  <si>
    <t>Academic Year Credit hours, all levels, taught at Cascades</t>
  </si>
  <si>
    <t>Share of Cascades Pool</t>
  </si>
  <si>
    <t>Academic Delivery</t>
  </si>
  <si>
    <t>Extended Campus</t>
  </si>
  <si>
    <t>Undergraduate Non-resident</t>
  </si>
  <si>
    <t>Percentage</t>
  </si>
  <si>
    <t>Retention fund</t>
  </si>
  <si>
    <t xml:space="preserve">Settle-up Pools to Distribute to Academic Units </t>
  </si>
  <si>
    <t>Executive Funding</t>
  </si>
  <si>
    <t xml:space="preserve">Graphing: </t>
  </si>
  <si>
    <t>Ecampus academic support operations</t>
  </si>
  <si>
    <t>(weight for strategic areas:)</t>
  </si>
  <si>
    <t>Degrees to International Students.</t>
  </si>
  <si>
    <t>Degrees to URM Students:</t>
  </si>
  <si>
    <t>Cascades Participation by SCH</t>
  </si>
  <si>
    <t>LD Biology SCH Taught byOther Units</t>
  </si>
  <si>
    <t>Does this equal the right total?</t>
  </si>
  <si>
    <t>Resident OR students</t>
  </si>
  <si>
    <r>
      <t xml:space="preserve">NOTE:  This is for </t>
    </r>
    <r>
      <rPr>
        <b/>
        <sz val="24"/>
        <rFont val="Calibri"/>
        <family val="2"/>
        <scheme val="minor"/>
      </rPr>
      <t>ILLUSTRATION ONLY</t>
    </r>
    <r>
      <rPr>
        <sz val="24"/>
        <rFont val="Calibri"/>
        <family val="2"/>
        <scheme val="minor"/>
      </rPr>
      <t xml:space="preserve"> at this point.  The data is</t>
    </r>
    <r>
      <rPr>
        <b/>
        <sz val="24"/>
        <rFont val="Calibri"/>
        <family val="2"/>
        <scheme val="minor"/>
      </rPr>
      <t xml:space="preserve"> NOT THE ACTUAL</t>
    </r>
    <r>
      <rPr>
        <sz val="24"/>
        <rFont val="Calibri"/>
        <family val="2"/>
        <scheme val="minor"/>
      </rPr>
      <t xml:space="preserve"> data.</t>
    </r>
  </si>
  <si>
    <t>Per square foot delta assessment:</t>
  </si>
  <si>
    <t>This is included so there can be discussion on how to build a space management incentive into the budget model</t>
  </si>
  <si>
    <t>OFFICE/RELATED</t>
  </si>
  <si>
    <t>CLASSLB/RELATED</t>
  </si>
  <si>
    <t>RESLAB/RELATED</t>
  </si>
  <si>
    <t>ACTUAL</t>
  </si>
  <si>
    <t>ALLOW</t>
  </si>
  <si>
    <t>% (+/-)</t>
  </si>
  <si>
    <t>Other Space</t>
  </si>
  <si>
    <t>GRAND Total</t>
  </si>
  <si>
    <t>Space Delta (sq. ft.)</t>
  </si>
  <si>
    <t>Assessment</t>
  </si>
  <si>
    <t>School /Department</t>
  </si>
  <si>
    <t xml:space="preserve">  Actual</t>
  </si>
  <si>
    <t xml:space="preserve">  Allow</t>
  </si>
  <si>
    <t xml:space="preserve"> Actual</t>
  </si>
  <si>
    <t>Allow(1)</t>
  </si>
  <si>
    <t>Actual</t>
  </si>
  <si>
    <t>Allow</t>
  </si>
  <si>
    <t>Storage</t>
  </si>
  <si>
    <t xml:space="preserve">COLLEGE OF AGRICULTURAL SCIENCES </t>
  </si>
  <si>
    <t>TOTAL CAS</t>
  </si>
  <si>
    <t xml:space="preserve">COLLEGE OF BUSINESS </t>
  </si>
  <si>
    <t>TOTAL COB</t>
  </si>
  <si>
    <t>COLLEGE OF EDUCATION (SPACE AUDIT PENDING - HC NOT VERIFIED- TO BE UPDATED WITH NEW BUILDING)</t>
  </si>
  <si>
    <t>COLLEGE OF COED</t>
  </si>
  <si>
    <t>COLLEGE OF ENGINEERING (SPACE AUDIT IN PROCESS )</t>
  </si>
  <si>
    <t>TOTAL COE</t>
  </si>
  <si>
    <t>COLLEGE OF FORESTRY (SPACE AUDIT PENDING)</t>
  </si>
  <si>
    <t>TOTAL COF</t>
  </si>
  <si>
    <t>COLLEGE OF PUBLIC HEALTH &amp; HUMAN SCIENCES (EXCLUDING TEAM OREGON)</t>
  </si>
  <si>
    <t>TOTAL CPHHS</t>
  </si>
  <si>
    <t xml:space="preserve">COLLEGE OF LIBERAL ARTS </t>
  </si>
  <si>
    <t>TOTAL CLA</t>
  </si>
  <si>
    <t>COLLEGE OF OCEANIC &amp; ATMOSPHERIC SCIENCES (SPACE AUDIT PENDING )</t>
  </si>
  <si>
    <t>TOTAL CEOAS</t>
  </si>
  <si>
    <t xml:space="preserve">COLLEGE OF PHARMACY </t>
  </si>
  <si>
    <t>TOTAL COP</t>
  </si>
  <si>
    <t xml:space="preserve">COLLEGE OF SCIENCE (COS) </t>
  </si>
  <si>
    <t>TOTAL COS</t>
  </si>
  <si>
    <t>COLLEGE OF VETERINARY MEDICINE (SPACE AUDIT PENDING )</t>
  </si>
  <si>
    <t>TOTAL CVM</t>
  </si>
  <si>
    <t>GRAND TOTAL ALL ACADEMIC SPACE</t>
  </si>
  <si>
    <t>Notes:</t>
  </si>
  <si>
    <t>The specific assigned vs. allowable space reports above were compared with current space standards as approved by USC.</t>
  </si>
  <si>
    <t>This is a working draft and status of verifications are included in each unit's heading.</t>
  </si>
  <si>
    <t>Space Assessment Calculation</t>
  </si>
  <si>
    <t>OFF</t>
  </si>
  <si>
    <t>FY16 Assessment</t>
  </si>
  <si>
    <t>Pools to Distribute to Units</t>
  </si>
  <si>
    <t>Reserves, Contingency, Strategic</t>
  </si>
  <si>
    <t>Community Support Fund</t>
  </si>
  <si>
    <t>Strategic Funds:</t>
  </si>
  <si>
    <t>Community Support:</t>
  </si>
  <si>
    <t>OSU strategic  funding</t>
  </si>
  <si>
    <t>Community Support Funds</t>
  </si>
  <si>
    <t>Ecampus and Summer Undergraduate</t>
  </si>
  <si>
    <t>Ecampus and Summer Graduate</t>
  </si>
  <si>
    <t xml:space="preserve">    University Business Centers    </t>
  </si>
  <si>
    <t>Budgeted in Executive and Strategic</t>
  </si>
  <si>
    <t>International Participants</t>
  </si>
  <si>
    <t>Metric Number</t>
  </si>
  <si>
    <t>Additional weight for PH.D over Masters:</t>
  </si>
  <si>
    <t>DVM PharmD</t>
  </si>
  <si>
    <t>Discipline weights for degrees and credit hours ratioed to upper division social science</t>
  </si>
  <si>
    <t>All</t>
  </si>
  <si>
    <t>All Ratioed to Lower Division</t>
  </si>
  <si>
    <t>100% Degree Share</t>
  </si>
  <si>
    <t>Capital Renewal and Depreciation Funds</t>
  </si>
  <si>
    <t>Overhead Rate</t>
  </si>
  <si>
    <t>Weighted</t>
  </si>
  <si>
    <t>Raw</t>
  </si>
  <si>
    <t>LD Foundation SCH</t>
  </si>
  <si>
    <t>UD Foundation SCH</t>
  </si>
  <si>
    <t>Grad Foundation SCH</t>
  </si>
  <si>
    <t>Undergraduate Degrees</t>
  </si>
  <si>
    <t>Graduate Degrees</t>
  </si>
  <si>
    <t>Undergraduate Ecampus tuition and fee</t>
  </si>
  <si>
    <t>Graduate Ecampus tuition and fee</t>
  </si>
  <si>
    <t>State graduate</t>
  </si>
  <si>
    <t>State undergraduate</t>
  </si>
  <si>
    <t>Other</t>
  </si>
  <si>
    <t>State funding assumed as 77% for undergraduate outcomes</t>
  </si>
  <si>
    <t>Undergraduate tuition and fees</t>
  </si>
  <si>
    <t>Graduate tuition and fees</t>
  </si>
  <si>
    <t>Professional Tuition fees</t>
  </si>
  <si>
    <t>Fees distributed 83% undergraduate, 15% graduate</t>
  </si>
  <si>
    <t>Research &amp; Public Service General</t>
  </si>
  <si>
    <t>State Targeted Research Funds</t>
  </si>
  <si>
    <t>% All</t>
  </si>
  <si>
    <t>% General</t>
  </si>
  <si>
    <t>Distributable:</t>
  </si>
  <si>
    <t>Undergraduate revenues:</t>
  </si>
  <si>
    <t>Graduate revenues:</t>
  </si>
  <si>
    <t>General research revenues:</t>
  </si>
  <si>
    <t>Earmarked revenues:</t>
  </si>
  <si>
    <t>Average Academic Year SCH</t>
  </si>
  <si>
    <t>Foundation Credit hours of total</t>
  </si>
  <si>
    <t>Undergraduate Credit hours of total</t>
  </si>
  <si>
    <t>Graduate Credit Hours of total</t>
  </si>
  <si>
    <t>Proportions of Credit Hours and Degrees:</t>
  </si>
  <si>
    <t>Proportions of Initial Revenues by General Sources</t>
  </si>
  <si>
    <t>Proportions of Academic Distributions by Category</t>
  </si>
  <si>
    <t>Foundation Credit Hours:</t>
  </si>
  <si>
    <t>Lower division</t>
  </si>
  <si>
    <t>Upper Division</t>
  </si>
  <si>
    <t>Undergraduate Completions</t>
  </si>
  <si>
    <t>Undergraduate Ecampus</t>
  </si>
  <si>
    <t>Graduate Ecampus</t>
  </si>
  <si>
    <t>Honors and Cascades Undergraduate</t>
  </si>
  <si>
    <t>Strategic Populations-Undergraduate</t>
  </si>
  <si>
    <t>Strategic Populations-Graduate</t>
  </si>
  <si>
    <t>Undergraduate proportion:</t>
  </si>
  <si>
    <t>Graduate proportion:</t>
  </si>
  <si>
    <t>Foundation Credit Hour Measures</t>
  </si>
  <si>
    <t>Undergraduate Allocations</t>
  </si>
  <si>
    <t>Graduate Allocations</t>
  </si>
  <si>
    <t>Research Allocations</t>
  </si>
  <si>
    <t>Original</t>
  </si>
  <si>
    <t>No Weighting</t>
  </si>
  <si>
    <t>Switched Weights</t>
  </si>
  <si>
    <t>Use Discpline Weights?</t>
  </si>
  <si>
    <t>Use Disciplinary Weights?</t>
  </si>
  <si>
    <t>Ecampus and Summer Pools</t>
  </si>
  <si>
    <t>Projection Current Year</t>
  </si>
  <si>
    <t>Pool</t>
  </si>
  <si>
    <t>Summer Undergraduate per SCH</t>
  </si>
  <si>
    <t>Summer Graduate per SCH</t>
  </si>
  <si>
    <t>Total Weighted Degrees</t>
  </si>
  <si>
    <t>Revenue Sources for Comparison:</t>
  </si>
  <si>
    <t>Distribution of Pool by Category)</t>
  </si>
  <si>
    <t>Academic Delivery Units*</t>
  </si>
  <si>
    <t>*</t>
  </si>
  <si>
    <t>Other Distribution pools or allocations</t>
  </si>
  <si>
    <t>Academic Affairs, Student Affairs, Enrollment Management, Undergraduate Studies</t>
  </si>
  <si>
    <t>Strategic populations</t>
  </si>
  <si>
    <t>Contractual Obligations</t>
  </si>
  <si>
    <t>Pools to distribute to units</t>
  </si>
  <si>
    <t>Health Professions</t>
  </si>
  <si>
    <t xml:space="preserve"> Colleges, Ecampus, Centers and Institutes, Interdisciplinary Graduate programs, including academic distribution pools, Outreach and Engagement</t>
  </si>
  <si>
    <t>Facilities Operations, Energy Operations, Risk Management, Capital Planning</t>
  </si>
  <si>
    <t>Contractual or contingency</t>
  </si>
  <si>
    <t xml:space="preserve"> Executive funding</t>
  </si>
  <si>
    <t>Strategic or Community Funds</t>
  </si>
  <si>
    <t>Share of Pool Dollars</t>
  </si>
  <si>
    <t>UD Biology SCH Taught by Other Units</t>
  </si>
  <si>
    <t>Data from data summary workbook.  Original data from CORE report BUD500</t>
  </si>
  <si>
    <t>Projected credit hours from projection worksheet</t>
  </si>
  <si>
    <t>Share of pool</t>
  </si>
  <si>
    <t xml:space="preserve">Pharmacy and Vet. Med. Ph.D. Weight is </t>
  </si>
  <si>
    <t>FY16 Budget</t>
  </si>
  <si>
    <t>Data from data summary workbook.  Original data from CORE report BUD500 and BUD502</t>
  </si>
  <si>
    <t>Projected credit hours and degrees from projection worksheet</t>
  </si>
  <si>
    <t xml:space="preserve">                                                             </t>
  </si>
  <si>
    <t>FY17 Share</t>
  </si>
  <si>
    <t>Strategic Populations</t>
  </si>
  <si>
    <t>FY17 Allocation</t>
  </si>
  <si>
    <t>Pell recipients</t>
  </si>
  <si>
    <t>URM Students</t>
  </si>
  <si>
    <t>International Students</t>
  </si>
  <si>
    <t>for reference elsewhere:</t>
  </si>
  <si>
    <t>Dollars in Graduate Completions Pool:</t>
  </si>
  <si>
    <t>Lower Division</t>
  </si>
  <si>
    <t>Master's</t>
  </si>
  <si>
    <t xml:space="preserve">Doctoral </t>
  </si>
  <si>
    <t>Ratios to Upper Division Social Science: Before Adjustment for Differential Tuition</t>
  </si>
  <si>
    <t>FY17</t>
  </si>
  <si>
    <t>F&amp;A Recovery kept centrally</t>
  </si>
  <si>
    <t xml:space="preserve">Capital Campaign Support </t>
  </si>
  <si>
    <t>Int'l Assistant Visa fees (distr as Grad Rem)</t>
  </si>
  <si>
    <t>URM</t>
  </si>
  <si>
    <t>EOU</t>
  </si>
  <si>
    <t>Eastern Oregon University Settle-up</t>
  </si>
  <si>
    <t>(distributed on Ecampus page)</t>
  </si>
  <si>
    <t>All by CIP Level</t>
  </si>
  <si>
    <t>Actual 2016</t>
  </si>
  <si>
    <t>GRAD Biology SCH Taught by Other Units</t>
  </si>
  <si>
    <t>2016 actual</t>
  </si>
  <si>
    <t>All without Engineering</t>
  </si>
  <si>
    <t>2016 Actual</t>
  </si>
  <si>
    <t>2016-17</t>
  </si>
  <si>
    <t>Minor (declared, not awarded, there are data issues)  Count corrected Spring 2017</t>
  </si>
  <si>
    <t xml:space="preserve">2015-16 </t>
  </si>
  <si>
    <t>AY Differential and prof. tuition over base</t>
  </si>
  <si>
    <t>COLLEGE</t>
  </si>
  <si>
    <t>Earth,Ocean &amp;Atmos Sci</t>
  </si>
  <si>
    <t xml:space="preserve">Forestry </t>
  </si>
  <si>
    <t>Public Health &amp; Human Sci</t>
  </si>
  <si>
    <t xml:space="preserve">Graduate School                     </t>
  </si>
  <si>
    <t xml:space="preserve"> Research Office </t>
  </si>
  <si>
    <t xml:space="preserve">  Outreach &amp; Engagement</t>
  </si>
  <si>
    <t xml:space="preserve"> Library</t>
  </si>
  <si>
    <t xml:space="preserve"> Student Affairs</t>
  </si>
  <si>
    <t>Central Admin</t>
  </si>
  <si>
    <t>FY18</t>
  </si>
  <si>
    <t>Financial aid</t>
  </si>
  <si>
    <t>Fee</t>
  </si>
  <si>
    <t>Total Tuition Revenue</t>
  </si>
  <si>
    <t xml:space="preserve">Differential is </t>
  </si>
  <si>
    <t>Fee is</t>
  </si>
  <si>
    <t>Ecampus Actual Dollar Allocation Total</t>
  </si>
  <si>
    <t>Summer Actual Dollar Allocation Total</t>
  </si>
  <si>
    <t>FY17 Initial</t>
  </si>
  <si>
    <t>FY18 Initial</t>
  </si>
  <si>
    <t>Total Revenue</t>
  </si>
  <si>
    <t>Fee percent</t>
  </si>
  <si>
    <t>Central percent</t>
  </si>
  <si>
    <t>Undergraduate Differential Tuition</t>
  </si>
  <si>
    <t>Graduate Differential Tuition</t>
  </si>
  <si>
    <t>Less 10% Undergraduate, 4.0% Graduate Financial Aid</t>
  </si>
  <si>
    <t>Net Allocation</t>
  </si>
  <si>
    <t>14-15-16</t>
  </si>
  <si>
    <t>College specific upper division and graduate weights?</t>
  </si>
  <si>
    <t>LD specific weights</t>
  </si>
  <si>
    <t>UD College specific weights</t>
  </si>
  <si>
    <t>Grad College specific weights</t>
  </si>
  <si>
    <t>The academic allocation for Ecampus is based on actual projected total SCH, the same way as currently</t>
  </si>
  <si>
    <t>$/weighted SCH</t>
  </si>
  <si>
    <t>PAC fee $</t>
  </si>
  <si>
    <t>Weighted SCH</t>
  </si>
  <si>
    <t>Discount</t>
  </si>
  <si>
    <t>Use Health Sciences weight for Pharm and Vet Med (no = professional school weights)</t>
  </si>
  <si>
    <t>Use health science weights?  (no =professional wt)</t>
  </si>
  <si>
    <t>Professional tuition (total)</t>
  </si>
  <si>
    <t>F&amp;A Recovery (Total)</t>
  </si>
  <si>
    <t>Sales and Service, Fees,</t>
  </si>
  <si>
    <t>State Outcomes Targeted</t>
  </si>
  <si>
    <t>State Outcomes General</t>
  </si>
  <si>
    <t>Ecampus, Summer</t>
  </si>
  <si>
    <t>FY18  Foundations</t>
  </si>
  <si>
    <t>15-16-17</t>
  </si>
  <si>
    <t>FY18 Share</t>
  </si>
  <si>
    <t>FY18 Allocation</t>
  </si>
  <si>
    <t>FY18 Degrees</t>
  </si>
  <si>
    <t>FY18 Budget</t>
  </si>
  <si>
    <t>Capital Renewal and Repair</t>
  </si>
  <si>
    <t>Grad remission reserves, PhD subsidy, Visa fees</t>
  </si>
  <si>
    <t xml:space="preserve">    International Programs</t>
  </si>
  <si>
    <t xml:space="preserve">    Graduate School Interdisciplinary Programs</t>
  </si>
  <si>
    <t>Service, Support, &amp; Management</t>
  </si>
  <si>
    <t xml:space="preserve">    Enterprise Risk Services</t>
  </si>
  <si>
    <t>ORIGINAL</t>
  </si>
  <si>
    <t>OSU Shared Responsibility Budget Model FY18 Version</t>
  </si>
  <si>
    <t>General tuition</t>
  </si>
  <si>
    <t>FY2018 Education &amp; General Initial Budget  ---Hybrid Model Development</t>
  </si>
  <si>
    <t>FY17 Estimate</t>
  </si>
  <si>
    <t>Professional Schools to 100% of Gross Revenue</t>
  </si>
  <si>
    <t>FY18 Estimate</t>
  </si>
  <si>
    <t>FY15 Original Budget</t>
  </si>
  <si>
    <t>FY15 Adjusted Budget</t>
  </si>
  <si>
    <t>FY15 Targeted and Dedicated</t>
  </si>
  <si>
    <t>FY15 Floor Base Budget</t>
  </si>
  <si>
    <t>Switched floor calculation</t>
  </si>
  <si>
    <t>Ocean Acidification</t>
  </si>
  <si>
    <t>OSU Targeted Funding</t>
  </si>
  <si>
    <t>Explanation</t>
  </si>
  <si>
    <t>For AES FY12 Salary increases</t>
  </si>
  <si>
    <t>For AES Grad Fee Remissions</t>
  </si>
  <si>
    <t>For FRL FY12 Salary increases</t>
  </si>
  <si>
    <t>For FRL Grad Fee Remissions</t>
  </si>
  <si>
    <t>Environmental Humanities - Year 1 of 3</t>
  </si>
  <si>
    <t xml:space="preserve">    CEOAS</t>
  </si>
  <si>
    <t>Support for EVM position</t>
  </si>
  <si>
    <t>Fee Waivers</t>
  </si>
  <si>
    <t xml:space="preserve">    President's Office</t>
  </si>
  <si>
    <t>DAS Shuttle</t>
  </si>
  <si>
    <t xml:space="preserve">    Provost Pass-through</t>
  </si>
  <si>
    <t>Phi Beta Kappa funding</t>
  </si>
  <si>
    <t xml:space="preserve">    Information Services</t>
  </si>
  <si>
    <t>One-time license charges &amp; system upgrades</t>
  </si>
  <si>
    <t xml:space="preserve">    Graduate School</t>
  </si>
  <si>
    <t>Graduate Fellowship &amp; Scholarship program</t>
  </si>
  <si>
    <t xml:space="preserve">    Research Admin</t>
  </si>
  <si>
    <t>SMI contract (or other DC representation)</t>
  </si>
  <si>
    <t>FY12 salary increase for EXT</t>
  </si>
  <si>
    <t>For EXT Grad Fee Remissions</t>
  </si>
  <si>
    <t xml:space="preserve">    Finance &amp; Administration</t>
  </si>
  <si>
    <t>Budget Office - Future Perfect contract</t>
  </si>
  <si>
    <t xml:space="preserve">   UIO - Cap Dev &amp; Planning</t>
  </si>
  <si>
    <t>Corvallis Transit Pmt</t>
  </si>
  <si>
    <t>Albany Transit Pmt</t>
  </si>
  <si>
    <t xml:space="preserve">          Total</t>
  </si>
  <si>
    <t>Foundation Obligation (Alumni Assoc)</t>
  </si>
  <si>
    <t>Capital &amp; Repair Fund</t>
  </si>
  <si>
    <t>Corvallis</t>
  </si>
  <si>
    <t>Grant to City (URM)</t>
  </si>
  <si>
    <t>Various</t>
  </si>
  <si>
    <t>Boli Fees</t>
  </si>
  <si>
    <t>Sales &amp; Service Revenue</t>
  </si>
  <si>
    <t>Net Contingency/Uncommitted funds</t>
  </si>
  <si>
    <t>Capital renewal and repair</t>
  </si>
  <si>
    <t>Strategic allocations (MSI and Student Success)</t>
  </si>
  <si>
    <t>Sales and Service Revenue Shown Elsewhere</t>
  </si>
  <si>
    <t>Building Use Credits (moved to plant fund)</t>
  </si>
  <si>
    <t>Share</t>
  </si>
  <si>
    <t>NO</t>
  </si>
  <si>
    <t>This is the allocation by actual amounts, in the exact way it has been done previously.</t>
  </si>
  <si>
    <t>These allocations include the differential tuition component</t>
  </si>
  <si>
    <t>For Trend Projection:</t>
  </si>
  <si>
    <t>Correction for PAC fee allocation</t>
  </si>
  <si>
    <t>PHHS Original</t>
  </si>
  <si>
    <t>PHHS Corrected</t>
  </si>
  <si>
    <t>FY15 Based Floor Calculations</t>
  </si>
  <si>
    <t>FY16 Base vs. Targeted Allocations</t>
  </si>
  <si>
    <t>FY16 Adjusted total budget</t>
  </si>
  <si>
    <t>Net dedicated and targeted funds allocation</t>
  </si>
  <si>
    <t>FY16 Floor Base Budget</t>
  </si>
  <si>
    <t>Budget Floor</t>
  </si>
  <si>
    <t>Floor is set as:</t>
  </si>
  <si>
    <t>Distribute Community Fund, Adjust to Floor</t>
  </si>
  <si>
    <t>*FY18 targeted adds $685K that in previous years had been a part of targeted funding</t>
  </si>
  <si>
    <t>but was moved to base in FY18;  it would artifically reduce the floor if not included</t>
  </si>
  <si>
    <t>Adjust to Floor</t>
  </si>
  <si>
    <t>Community Support Fund Reserve:</t>
  </si>
  <si>
    <t>Strategic Investment Reserves:</t>
  </si>
  <si>
    <t>Initial Budget</t>
  </si>
  <si>
    <t>2017 Actual</t>
  </si>
  <si>
    <t>Actual 2017</t>
  </si>
  <si>
    <t>Revised weights used in FY17 and FY18 versions</t>
  </si>
  <si>
    <t>Ratios to Eight Upper Division CIPs (1.00), capped for differential tuition contribution</t>
  </si>
  <si>
    <t>2016A</t>
  </si>
  <si>
    <t>2017A</t>
  </si>
  <si>
    <t>Dollar allocation per credit hour</t>
  </si>
  <si>
    <t>Dollar allocation per category</t>
  </si>
  <si>
    <t>$ per SCH</t>
  </si>
  <si>
    <t>$ per Intl</t>
  </si>
  <si>
    <t>$ per URM</t>
  </si>
  <si>
    <t>$ per Pell</t>
  </si>
  <si>
    <t>Dollars from and per Degree</t>
  </si>
  <si>
    <t>Dollars from and per SCH</t>
  </si>
  <si>
    <t>Per Phd $</t>
  </si>
  <si>
    <t>Per MS $</t>
  </si>
  <si>
    <t>Ecampus and Summer SCH:</t>
  </si>
  <si>
    <t>Resident Undergraduate per SCH</t>
  </si>
  <si>
    <t>Resident Graduate per SCH</t>
  </si>
  <si>
    <t>FY18 LD Foundation</t>
  </si>
  <si>
    <t>FY18 UD Foundation</t>
  </si>
  <si>
    <t>FY18 Weighted UG Degrees</t>
  </si>
  <si>
    <t>FY18 Graduate Degrees</t>
  </si>
  <si>
    <t>Research Office Reports</t>
  </si>
  <si>
    <t>Budget Office Report</t>
  </si>
  <si>
    <t>FY17 Unit Share</t>
  </si>
  <si>
    <t>FY18 Unit Share</t>
  </si>
  <si>
    <t xml:space="preserve">ETIC Sustaining  Funding </t>
  </si>
  <si>
    <t>Services for Students with Disabilities</t>
  </si>
  <si>
    <t>Fermentation Science and 63% of Shellfish/Mollusca Funding, Potato Research, North Willamette funding</t>
  </si>
  <si>
    <t>This data is not used at the moment.</t>
  </si>
  <si>
    <t>This is a placeholder if there is a decision to add a space allocation component.</t>
  </si>
  <si>
    <t>Ratios to UD 8-field average--With Delaware, Ohio State Avg</t>
  </si>
  <si>
    <t>Illinois</t>
  </si>
  <si>
    <t>SHEOO 2002, 2007</t>
  </si>
  <si>
    <t>CIP Levels</t>
  </si>
  <si>
    <t>LOWER</t>
  </si>
  <si>
    <t>UPPER</t>
  </si>
  <si>
    <t>GRAD I</t>
  </si>
  <si>
    <t>GRAD II</t>
  </si>
  <si>
    <t>Average Across All Disciplines if Given</t>
  </si>
  <si>
    <t>01</t>
  </si>
  <si>
    <t>Agricultural Business</t>
  </si>
  <si>
    <t>02</t>
  </si>
  <si>
    <t>03</t>
  </si>
  <si>
    <t>Conservation</t>
  </si>
  <si>
    <t>04</t>
  </si>
  <si>
    <t>Architecture</t>
  </si>
  <si>
    <t>05</t>
  </si>
  <si>
    <t>Area, Ethnic, Cultural Studies</t>
  </si>
  <si>
    <t>09</t>
  </si>
  <si>
    <t>Communications</t>
  </si>
  <si>
    <t>10</t>
  </si>
  <si>
    <t>Communications Technologies</t>
  </si>
  <si>
    <t>11</t>
  </si>
  <si>
    <t>Computer and Information Science</t>
  </si>
  <si>
    <t>13</t>
  </si>
  <si>
    <t>14</t>
  </si>
  <si>
    <t>15</t>
  </si>
  <si>
    <t>Engineering-related Technology</t>
  </si>
  <si>
    <t>16</t>
  </si>
  <si>
    <t>Foreign Languages and Literature</t>
  </si>
  <si>
    <t>19</t>
  </si>
  <si>
    <t>Home Economics</t>
  </si>
  <si>
    <t>22</t>
  </si>
  <si>
    <t>Law and Legal Studies</t>
  </si>
  <si>
    <t>23</t>
  </si>
  <si>
    <t>English Language and Literature</t>
  </si>
  <si>
    <t>24</t>
  </si>
  <si>
    <t>Liberal Arts and Sciences, Humanities</t>
  </si>
  <si>
    <t>25</t>
  </si>
  <si>
    <t>Library Science</t>
  </si>
  <si>
    <t>26</t>
  </si>
  <si>
    <t>Biological Sciences, Life Sciences</t>
  </si>
  <si>
    <t>27</t>
  </si>
  <si>
    <t>Mathematics</t>
  </si>
  <si>
    <t>28</t>
  </si>
  <si>
    <t>Reserve Officers Training Corps</t>
  </si>
  <si>
    <t>29</t>
  </si>
  <si>
    <t>Military Technologies</t>
  </si>
  <si>
    <t>30</t>
  </si>
  <si>
    <t>Multi/Interdisciplinary Studies</t>
  </si>
  <si>
    <t>31</t>
  </si>
  <si>
    <t>Parks, Rec, Leisure, Fitness Studies</t>
  </si>
  <si>
    <t>32</t>
  </si>
  <si>
    <t>Basic Skills</t>
  </si>
  <si>
    <t>34</t>
  </si>
  <si>
    <t>Health Related Knowledge/Skill</t>
  </si>
  <si>
    <t>38</t>
  </si>
  <si>
    <t>Philosophy and Religion</t>
  </si>
  <si>
    <t>40</t>
  </si>
  <si>
    <t>Physical Sciences</t>
  </si>
  <si>
    <t>41</t>
  </si>
  <si>
    <t>Science Technologies</t>
  </si>
  <si>
    <t>42</t>
  </si>
  <si>
    <t>Psychology</t>
  </si>
  <si>
    <t>43</t>
  </si>
  <si>
    <t>Protective Services</t>
  </si>
  <si>
    <t>44</t>
  </si>
  <si>
    <t>Public Administration and Services</t>
  </si>
  <si>
    <t>45</t>
  </si>
  <si>
    <t>Social Sciences and History</t>
  </si>
  <si>
    <t>50</t>
  </si>
  <si>
    <t>Visual and Performing Arts</t>
  </si>
  <si>
    <t>51</t>
  </si>
  <si>
    <t>Health Professions, Related Sciences</t>
  </si>
  <si>
    <t>51.20</t>
  </si>
  <si>
    <t>51.24</t>
  </si>
  <si>
    <t>Veterinary Medicine (DVM)</t>
  </si>
  <si>
    <t>52</t>
  </si>
  <si>
    <t>Business Mgmt, Administrative Services</t>
  </si>
  <si>
    <t>54</t>
  </si>
  <si>
    <t>History</t>
  </si>
  <si>
    <t>9999</t>
  </si>
  <si>
    <t>Unknown</t>
  </si>
  <si>
    <t>Average</t>
  </si>
  <si>
    <t>Median</t>
  </si>
  <si>
    <t>Stddev</t>
  </si>
  <si>
    <t>+2 STDEV</t>
  </si>
  <si>
    <t>Weights by CIP code, binned as at right</t>
  </si>
  <si>
    <t>Pharmacy*</t>
  </si>
  <si>
    <t>Veterinary Medicine*</t>
  </si>
  <si>
    <t>*these are estimates from RAM and Texas system data; they are not well constrained</t>
  </si>
  <si>
    <t>This table is then mapped to the appropriate cell in the table to the left.</t>
  </si>
  <si>
    <t>FY13</t>
  </si>
  <si>
    <t>FY17 Base vs. Targeted Allocations</t>
  </si>
  <si>
    <t>FY18 Base vs. Targeted Allocations</t>
  </si>
  <si>
    <t xml:space="preserve">    Research (Centers / Institutes / Programs)*</t>
  </si>
  <si>
    <t>Set Floor as FY16 or FY17</t>
  </si>
  <si>
    <t>FY17 Adjusted total budget</t>
  </si>
  <si>
    <t>FY17 Floor Base Budget</t>
  </si>
  <si>
    <t>FY18 Adjusted total budget</t>
  </si>
  <si>
    <t>FY18 Floor Base Budget</t>
  </si>
  <si>
    <t>Floor FY16 or FY17?</t>
  </si>
  <si>
    <t>FY18 Floor and Adjustments</t>
  </si>
  <si>
    <t>Professional Schools to 95% of Gross Revenue</t>
  </si>
  <si>
    <t>Adjust to FY16 Floor</t>
  </si>
  <si>
    <t>FY16 Floor and Adjustments</t>
  </si>
  <si>
    <t>CF at 4%</t>
  </si>
  <si>
    <t>CF at 3%</t>
  </si>
  <si>
    <t>FY17 Floor and Adjustments</t>
  </si>
  <si>
    <t>Adjust toFloor</t>
  </si>
  <si>
    <t>FY17 as Floor</t>
  </si>
  <si>
    <t>Additional adjust to FY17?</t>
  </si>
  <si>
    <t>Additional adjust to FY18?</t>
  </si>
  <si>
    <t>CF at 3.5%, 64-36%</t>
  </si>
  <si>
    <t>CF at 3.0%, 65-35%</t>
  </si>
  <si>
    <t>FY16 as Floor</t>
  </si>
  <si>
    <t>FY17 as Floor, PHHS keeps fees</t>
  </si>
  <si>
    <t>FY18 Commmunity Subsidy Amount, Forward Version</t>
  </si>
  <si>
    <t>Community Funding</t>
  </si>
  <si>
    <t>FY16 Targeted + Community</t>
  </si>
  <si>
    <t>FY17 Targeted + Community</t>
  </si>
  <si>
    <t>Correct for PAC Fee?</t>
  </si>
  <si>
    <t>Honors</t>
  </si>
  <si>
    <t>Centers</t>
  </si>
  <si>
    <t>Interdisciplinary</t>
  </si>
  <si>
    <t>Actual FY18 E&amp;G Budget:</t>
  </si>
  <si>
    <t>Model FY18 E&amp;G Budget</t>
  </si>
  <si>
    <t>Actual FY18 Budget</t>
  </si>
  <si>
    <t>Original FY18 Model Budget</t>
  </si>
  <si>
    <t>Adjusted FY18 Model Budget</t>
  </si>
  <si>
    <t>Change</t>
  </si>
  <si>
    <t xml:space="preserve">LD </t>
  </si>
  <si>
    <t>UD Service</t>
  </si>
  <si>
    <t>UD Majors</t>
  </si>
  <si>
    <t>Grad Service</t>
  </si>
  <si>
    <t>Grad Majors</t>
  </si>
  <si>
    <t>MS Degrees</t>
  </si>
  <si>
    <t xml:space="preserve">PhD Degrees </t>
  </si>
  <si>
    <t>Certificates</t>
  </si>
  <si>
    <t>Pell degrees</t>
  </si>
  <si>
    <t>International Degrees</t>
  </si>
  <si>
    <t>URM Degrees</t>
  </si>
  <si>
    <t>Fy17 Adjusted Initial Budget</t>
  </si>
  <si>
    <t>Revenue per change:</t>
  </si>
  <si>
    <t>Assumption</t>
  </si>
  <si>
    <t>Credit Hours:</t>
  </si>
  <si>
    <t>Degrees</t>
  </si>
  <si>
    <t>35% non-resident</t>
  </si>
  <si>
    <t>per SCH</t>
  </si>
  <si>
    <t>5 per degree</t>
  </si>
  <si>
    <t>no impact</t>
  </si>
  <si>
    <t>Enrollment 2x degrees, 40 SCH per yr</t>
  </si>
  <si>
    <t>Enrollment 2x degrees, 36 SCH per year</t>
  </si>
  <si>
    <t>Enrollment 3x degrees, 36 SCH per year</t>
  </si>
  <si>
    <t>Per unit</t>
  </si>
  <si>
    <t>FY17 Adjusted Budget</t>
  </si>
  <si>
    <t>Lower division SCH to Non-majors</t>
  </si>
  <si>
    <t>Lower division SCH to Majors</t>
  </si>
  <si>
    <t>Upper division SCH to Non Majors</t>
  </si>
  <si>
    <t>Upper division SCH to Majors</t>
  </si>
  <si>
    <t>Graduate SCH to non-majors</t>
  </si>
  <si>
    <t>Graduate SCH to majors</t>
  </si>
  <si>
    <t>Assume net new revenues?</t>
  </si>
  <si>
    <t>Yes</t>
  </si>
  <si>
    <t>No</t>
  </si>
  <si>
    <t>Added degrees per year:</t>
  </si>
  <si>
    <t>Added SCH per Year:</t>
  </si>
  <si>
    <t>Interntal Degrees</t>
  </si>
  <si>
    <t>New Revenue</t>
  </si>
  <si>
    <t>33% Non resident</t>
  </si>
  <si>
    <t>New revenues from what if growth:</t>
  </si>
  <si>
    <t>What If Added SCH (3 Yr Total)</t>
  </si>
  <si>
    <t>LD to Majors</t>
  </si>
  <si>
    <t>LD to Non Majors</t>
  </si>
  <si>
    <t>What If Added Revenue</t>
  </si>
  <si>
    <t>What If Added SCH Revenue</t>
  </si>
  <si>
    <t>Ecampus Undergrad SCH per year</t>
  </si>
  <si>
    <t>Ecampus Grad SCH per year</t>
  </si>
  <si>
    <t>Summer Grad SCH per year</t>
  </si>
  <si>
    <t>Summer Undergrad SCH per year</t>
  </si>
  <si>
    <t>Summer Grad</t>
  </si>
  <si>
    <t>Ecampus Undergrad</t>
  </si>
  <si>
    <t>Ecampus Grad</t>
  </si>
  <si>
    <t>Summer Undergrad</t>
  </si>
  <si>
    <t>Ecampus UG</t>
  </si>
  <si>
    <t>Summer UG</t>
  </si>
  <si>
    <t xml:space="preserve">If the net new revenues is set to "yes" all the incremental revenue is going into the academic pool, so other </t>
  </si>
  <si>
    <t>colleges benefit from the growth as well.  In the actual case, some of the revenue growth would likely go</t>
  </si>
  <si>
    <t>to central or service functions to improve facilities, the library, business centers, etc.</t>
  </si>
  <si>
    <t>What If Additions</t>
  </si>
  <si>
    <t>Change (and % of total new revenues if on)</t>
  </si>
  <si>
    <t>Original FY18 E&amp;G Budget before new revenues:</t>
  </si>
  <si>
    <t>DON'T CHANGE ME PLEASE.</t>
  </si>
  <si>
    <t>THESE FEED FROM OTHER PLACES&gt;&gt;&gt;&gt;USE THE "WHAT IF TOOL" TAB.</t>
  </si>
  <si>
    <t>Honors College credit hours</t>
  </si>
  <si>
    <t>Honors Degrees</t>
  </si>
  <si>
    <t>Honors Credit Hours</t>
  </si>
  <si>
    <t>CREIDT HOUR CHANGES</t>
  </si>
  <si>
    <t>What if Tool Added</t>
  </si>
  <si>
    <t>1.  Highlight the cell above and pick your unit from the drop down list</t>
  </si>
  <si>
    <t>2.  "No" mean's it is a zero sum calculation.  "Yes" assumes the growth is new enrollment we would not otherwise have.</t>
  </si>
  <si>
    <t>Taught by you to non-majors (service teaching)</t>
  </si>
  <si>
    <t>Taught by you to non-majors (300- and 400-level)</t>
  </si>
  <si>
    <t>Taught by you to your majors (100- and 200-level)</t>
  </si>
  <si>
    <t>Taught by you to majors (300- and 400-level)</t>
  </si>
  <si>
    <t>Taught by you to majors (500-level and above)</t>
  </si>
  <si>
    <t>Taught by you to non-majors (500-level and above)</t>
  </si>
  <si>
    <t>Undergraduate Ecampus credits, any level, major or non</t>
  </si>
  <si>
    <t>Graduate Ecampus credits, any level, major or non</t>
  </si>
  <si>
    <t>All summer undergraduate credit hour growh</t>
  </si>
  <si>
    <t>All summer graduate credit hour growth</t>
  </si>
  <si>
    <t>How many additional degrees you award per year by level.  Include interdisciplinary degrees your faculty supervise and double degrees (as for Education) your College awards.</t>
  </si>
  <si>
    <t>Any added Honors college credits you plan to add</t>
  </si>
  <si>
    <t>Degrees to Pell recipients (any degree level)</t>
  </si>
  <si>
    <t>Degrees to any international student (all degrees)</t>
  </si>
  <si>
    <t>Degrees to URM students (any degree level)</t>
  </si>
  <si>
    <t>Change per Year</t>
  </si>
  <si>
    <r>
      <t xml:space="preserve">3.  Add the growth you want </t>
    </r>
    <r>
      <rPr>
        <b/>
        <sz val="12"/>
        <color theme="1"/>
        <rFont val="Calibri"/>
        <family val="2"/>
        <charset val="238"/>
        <scheme val="minor"/>
      </rPr>
      <t>PER YEAR</t>
    </r>
    <r>
      <rPr>
        <sz val="12"/>
        <color theme="1"/>
        <rFont val="Calibri"/>
        <family val="2"/>
        <scheme val="minor"/>
      </rPr>
      <t xml:space="preserve"> (the calculation adds this to each of the three years used in the model automatically--so it realls you what the budget impact is once the growth has been in place for three full years). </t>
    </r>
  </si>
  <si>
    <t>Some notes on the assumptions and the revenue calculation:
If you assume additional degrees, you should probably also assume additional credit hours taught by your college.  This would be based on how many students you need in the "pipeline" to increase the number of degrees and what proportion of the credit hours in the degree you teach.  For example, if you were going to concentrate on transfer students and increase the number of degrees awarded annually by 25, you might assume 50 students total (25 juniors and 25 seniors) taking 45 credit hours per year from you, if you are delivering all of the junior and senior year credit hours for those students.  Just worry about the credit hours for your college not those taught by other colleges for those additional students.
The revenue model assumes that your increased production is steady-state---that is it is added to each of the three years the model uses for credit hour and degree calculations.
The net new revenue calculation makes some general assumptions about the pipeline issue noted above and as such is just a rough estimates.  It assumes that each new UG degree corresponds to 2 extra enrolled students (one junior and one senior) in a given year taking an average of 40 credits per year, each new MS corresponds  to 2 extra students enrolled per year taking an average of 32 credits per year, and each PhD degree corresponds to 3 extra students enrolled per term taking 36 credits per year (but it is assumed that PhD students are all on E&amp;G assistantship and don't generate net revenue).  So if you grow degrees, add credit hours taught to majors by your college proportionately (so if you add 10 new BS degrees per year, and you teach all of the credit hours, you would add 2 enrolled students per degree times 40 credits per year per student times 10 degrees per year).  You get the idea---if the assumptions in your program are different, adjust accordingly or give a shout to talk about it.</t>
  </si>
  <si>
    <t>FY19</t>
  </si>
  <si>
    <t>Increments</t>
  </si>
  <si>
    <t>Net Portland, Gateway, Innovation hub</t>
  </si>
  <si>
    <t>FY19 Total</t>
  </si>
  <si>
    <t>FY19  Foundations</t>
  </si>
  <si>
    <t>1.0% of undergraduate &amp; Ecampus  tuition revenue</t>
  </si>
  <si>
    <t>TallWood Design Institute</t>
  </si>
  <si>
    <t>Molluscan Brood Stock</t>
  </si>
  <si>
    <t xml:space="preserve">Sales &amp; Services </t>
  </si>
  <si>
    <t>Miscellaneous income</t>
  </si>
  <si>
    <t>overseas studies</t>
  </si>
  <si>
    <t>Net tuition to central</t>
  </si>
  <si>
    <t>Reserve</t>
  </si>
  <si>
    <t>Settleup fund</t>
  </si>
  <si>
    <t>Fee portion</t>
  </si>
  <si>
    <t>Ecampus Actual allocations after settle ups</t>
  </si>
  <si>
    <t>Summer Actual allocations after settle ups</t>
  </si>
  <si>
    <t>Degrees by Home of Major Professor---FY17</t>
  </si>
  <si>
    <t>Degrees by Home of Major Professor---FY16</t>
  </si>
  <si>
    <t>Degrees by Home of Major Professor---FY15</t>
  </si>
  <si>
    <t>Degrees by Home of Major Professor---FY14</t>
  </si>
  <si>
    <t>Degrees 2017-18</t>
  </si>
  <si>
    <t>Degrees 2016-17</t>
  </si>
  <si>
    <t>Degrees 2015-16</t>
  </si>
  <si>
    <t>MS totals</t>
  </si>
  <si>
    <t>PhD Totals</t>
  </si>
  <si>
    <t>Cert Totals</t>
  </si>
  <si>
    <t>FY19 LD Foundation</t>
  </si>
  <si>
    <t>FY19 Grad Foundation</t>
  </si>
  <si>
    <t>FY19 UD Foundation</t>
  </si>
  <si>
    <t>Correct for PAC fee charges?</t>
  </si>
  <si>
    <t xml:space="preserve">FY18 Allocation </t>
  </si>
  <si>
    <t>FY19 Project</t>
  </si>
  <si>
    <t>Using Total Dollars:</t>
  </si>
  <si>
    <t>Per SCH</t>
  </si>
  <si>
    <t>Per Degree</t>
  </si>
  <si>
    <t>FY18 Share of SCH</t>
  </si>
  <si>
    <t>FY18 Weighted UD SCH</t>
  </si>
  <si>
    <t>FY19 Allocation</t>
  </si>
  <si>
    <t>16-17-18</t>
  </si>
  <si>
    <t>FY19 Unit Share</t>
  </si>
  <si>
    <t xml:space="preserve">Graduate Completions </t>
  </si>
  <si>
    <t>FY18 Total Initial Budget</t>
  </si>
  <si>
    <t xml:space="preserve">    Research (Centers / Institutes)</t>
  </si>
  <si>
    <t>Raise Rollup</t>
  </si>
  <si>
    <t>Notes</t>
  </si>
  <si>
    <t>Sales and service revenues (put elsewhere)</t>
  </si>
  <si>
    <t>x</t>
  </si>
  <si>
    <t>Capital Renewal and Repair Funds</t>
  </si>
  <si>
    <t>Pools and Reserves to distribute to Units:</t>
  </si>
  <si>
    <t>Returned Overhead Rsv (Dept Admin on $41.2 million base)</t>
  </si>
  <si>
    <t>Reserve for differential revenue settle-ups</t>
  </si>
  <si>
    <t>Graduate Assistant Insurance Funds</t>
  </si>
  <si>
    <t>Grad Fee Remission for PhD candidacy program</t>
  </si>
  <si>
    <t>FY19 Unclassified Mid-Year Raise</t>
  </si>
  <si>
    <t>FY19 Classified Mid-year Step &amp; COLA</t>
  </si>
  <si>
    <t>Management Reserves for Business Costs</t>
  </si>
  <si>
    <t>Contracts, Fees to External Agencies:</t>
  </si>
  <si>
    <t>Debt Service and Leases</t>
  </si>
  <si>
    <t>Strategic Initiatives Funded Centrally</t>
  </si>
  <si>
    <t>Portland Hub, Innovation Studio, Gateway</t>
  </si>
  <si>
    <t>Contingency and Reserve Funding</t>
  </si>
  <si>
    <t>F&amp;A Recovery contrib - central reserve</t>
  </si>
  <si>
    <t xml:space="preserve">Total Institutional Management Allocation </t>
  </si>
  <si>
    <t>Forestry, Business, Engineering, MPH by credit hours times charge</t>
  </si>
  <si>
    <t>MPH prior to FY19 adjusted for graduate plateau</t>
  </si>
  <si>
    <t>Honors by headcount times charge per term</t>
  </si>
  <si>
    <t>Vet Med and Pharmacy by total tuition revenue less base tuition for graduate students</t>
  </si>
  <si>
    <t>Totals</t>
  </si>
  <si>
    <t>Collection inflation</t>
  </si>
  <si>
    <t>various software license increases</t>
  </si>
  <si>
    <t>City water charge increase</t>
  </si>
  <si>
    <t>FY19 Total rollup Initial Budget</t>
  </si>
  <si>
    <t>Excess commitments over pool:</t>
  </si>
  <si>
    <t>Net central balance</t>
  </si>
  <si>
    <t>Provost's Bridge Funding</t>
  </si>
  <si>
    <t>Capital Renewal Funding</t>
  </si>
  <si>
    <t>Revenues after Dedicated Funds including Capital Renewal</t>
  </si>
  <si>
    <t>Portion of funds to Academic Pool:</t>
  </si>
  <si>
    <t>Academic unit settle-up reserves:</t>
  </si>
  <si>
    <t>Tuition settleups (Ecampus, Summer, differential)</t>
  </si>
  <si>
    <t>Academic productivity pool</t>
  </si>
  <si>
    <t>Community Support Funding Pool</t>
  </si>
  <si>
    <t>Capital renewal and Depreciation Funds</t>
  </si>
  <si>
    <t>Community Support Funds for Colleges</t>
  </si>
  <si>
    <t>Productivity Split, 59% to Academic Pool</t>
  </si>
  <si>
    <t>Academic Productivity Funds</t>
  </si>
  <si>
    <t>Strategic Investments funds</t>
  </si>
  <si>
    <t>Institutional Support Funds</t>
  </si>
  <si>
    <t>Academic Productivity Pool</t>
  </si>
  <si>
    <t>Service, Support, Management Distribution Pool</t>
  </si>
  <si>
    <t>President's Offices</t>
  </si>
  <si>
    <t>Audit services, personnel adjustments</t>
  </si>
  <si>
    <t>FY19 Preliminary Total</t>
  </si>
  <si>
    <t>Provost's Offices</t>
  </si>
  <si>
    <t>Provost's Passthrough</t>
  </si>
  <si>
    <t>Student Success Phase 2</t>
  </si>
  <si>
    <t>Total Inst. Management</t>
  </si>
  <si>
    <t>Remaining</t>
  </si>
  <si>
    <t>Gross differential tuition revenue (Corvallis courses; Ecampus differentials distributed with Ecampus revenues)</t>
  </si>
  <si>
    <t>FY19 Adjustment to Correct Professional Tuition*</t>
  </si>
  <si>
    <t>*in the FY19 run, an error was corrected in the diffeential</t>
  </si>
  <si>
    <t>tuition calculation.  Pharmacy should have had $568K more differential, Vet Med $410K less.  These corrections are offset by corrections here</t>
  </si>
  <si>
    <t>Bridge and Settleup Reserve</t>
  </si>
  <si>
    <t>Strategic Funding</t>
  </si>
  <si>
    <t>Community Support Funding</t>
  </si>
  <si>
    <t>Community Fund &amp; Strategic Funds</t>
  </si>
  <si>
    <t>Contingency, Reserve, Initiative Funds</t>
  </si>
  <si>
    <t>Academic Productivity Allocations</t>
  </si>
  <si>
    <t>FY19 Distribution Pools and Net Tuition Rates for Reference</t>
  </si>
  <si>
    <t>FY2019 Education &amp; General Initial Budget</t>
  </si>
  <si>
    <t>Actual FY19 E&amp;G Budget:</t>
  </si>
  <si>
    <t>Model FY19 E&amp;G Budget</t>
  </si>
  <si>
    <t>FY19 Tuition Rates:</t>
  </si>
  <si>
    <t>2-Year Average:</t>
  </si>
  <si>
    <t>Ecampus about 95% undergraduate or postbacc</t>
  </si>
  <si>
    <t>Academic unit adjustments</t>
  </si>
  <si>
    <t>President's Offices, Provost's Offices, Provost's passthrough account, Athletics in Strategic funding line</t>
  </si>
  <si>
    <t>Service and Support Unit Increments</t>
  </si>
  <si>
    <t>Executive Office Changes</t>
  </si>
  <si>
    <t>Percentage of tuition:</t>
  </si>
  <si>
    <t>Undergraduate resident</t>
  </si>
  <si>
    <t>Ecampus and summer</t>
  </si>
  <si>
    <t>Overhead percentage components</t>
  </si>
  <si>
    <t>Graduate Cost Reserves (GTA/GRA health insurance)</t>
  </si>
  <si>
    <t>Institutional Management Pool</t>
  </si>
  <si>
    <t>Enrollment projection reserve</t>
  </si>
  <si>
    <t>Mid-year raise pool</t>
  </si>
  <si>
    <t>Service, support, administrative balance</t>
  </si>
  <si>
    <t>Contingency funding</t>
  </si>
  <si>
    <t>Strategic funding</t>
  </si>
  <si>
    <t>Executive funding</t>
  </si>
  <si>
    <t>VPFA, Provost  Adjustments</t>
  </si>
  <si>
    <t xml:space="preserve"> Community Support Funding</t>
  </si>
  <si>
    <t>FY19 Estimated Central Institutional management by model distribution category</t>
  </si>
  <si>
    <t>OSU Shared Responsibility Budget Model FY19 Version</t>
  </si>
  <si>
    <t>*the adjusted FY18 initial budget is the July initial budget plus the mid-year allocations to colleges to align with the model.</t>
  </si>
  <si>
    <t>Summary Settings in Model:</t>
  </si>
  <si>
    <t>Distribution of academic productivity pools</t>
  </si>
  <si>
    <t>Service and support allocations</t>
  </si>
  <si>
    <t>These are currently allocated by incremental commitments; detail on Service-Support Detail tab</t>
  </si>
  <si>
    <t>by actuals</t>
  </si>
  <si>
    <t>THIS METRIC BASED MEASURE OF S&amp;S UNITS IS IN PROGRESS</t>
  </si>
  <si>
    <t xml:space="preserve">Revenue Detail </t>
  </si>
  <si>
    <t>Overhead:</t>
  </si>
  <si>
    <t>This is used to check if any unit is below FY17 floor</t>
  </si>
  <si>
    <t>FY19 Commmunity Subsidy Amount, Forward Version</t>
  </si>
  <si>
    <t>This shows where all the budget went by type of function (columns) and type of pool (rows)</t>
  </si>
  <si>
    <t>This provides some summary information on amounts and percentages.</t>
  </si>
  <si>
    <t>This summary information is used to check sums and to feed some other pages.</t>
  </si>
  <si>
    <t>The productivity split was moved to the second step, rather than after setting aside central commitments to</t>
  </si>
  <si>
    <t>contractual obligations, raise pools, and contingency funds.  This insures that the academic productivity</t>
  </si>
  <si>
    <t>pool grows by at least the same proportion of overall revenue growth and that it does not shrink because</t>
  </si>
  <si>
    <t>Portion of funds to "central" or institutional management (contracts, reserves, debt etc.) and service, support, and executive functions:</t>
  </si>
  <si>
    <t>Marine Studies Initiative</t>
  </si>
  <si>
    <t>Commencement</t>
  </si>
  <si>
    <t>Dual Career Hiring Initiative</t>
  </si>
  <si>
    <t>Distinguished Professor support</t>
  </si>
  <si>
    <t>Invest in Excellence Fund</t>
  </si>
  <si>
    <t>Faculty Senate</t>
  </si>
  <si>
    <t>Faculty Athletics Representative</t>
  </si>
  <si>
    <t>Minority Faculty Recruit Fund</t>
  </si>
  <si>
    <t>President's Commission on Status of Women</t>
  </si>
  <si>
    <t>Professional Faculty Development Fund</t>
  </si>
  <si>
    <t>Phi Beta Kappa</t>
  </si>
  <si>
    <t>Unbudgeted balance</t>
  </si>
  <si>
    <t>Service and Support Unit Allocations:  Based on Incremental Adjustments to current budgets</t>
  </si>
  <si>
    <t>Pool remaining before adjustments:</t>
  </si>
  <si>
    <t>TOTALS</t>
  </si>
  <si>
    <t xml:space="preserve">too much is taken "off the top".  Over the last three years of the model the proportion to academic units </t>
  </si>
  <si>
    <t>correspondes to 57.6% to 60.4% of the available pool.  FY19 is set at 59% (the average of the three years).</t>
  </si>
  <si>
    <t>FY19 Budget Year Distributions</t>
  </si>
  <si>
    <t>What If Added</t>
  </si>
  <si>
    <t>Total Revenue summary for Professional Schools</t>
  </si>
  <si>
    <t>Resident tuition</t>
  </si>
  <si>
    <t>Non-resident tuition</t>
  </si>
  <si>
    <t>Less 7.4% Overhead</t>
  </si>
  <si>
    <t>WICHE tuition</t>
  </si>
  <si>
    <t>Residents</t>
  </si>
  <si>
    <t>Non-residents</t>
  </si>
  <si>
    <t>FY19 Estimate</t>
  </si>
  <si>
    <t>State Targeted Funds (VDL)</t>
  </si>
  <si>
    <t>Overhead percentage:</t>
  </si>
  <si>
    <t>DELTA</t>
  </si>
  <si>
    <t>Data if we move to budgeting professional schools at 100% of their revenues.</t>
  </si>
  <si>
    <t>FY19 Proposal</t>
  </si>
  <si>
    <t>OSU Budget Unit or Category</t>
  </si>
  <si>
    <t>Component Analysis Percent</t>
  </si>
  <si>
    <t>Proposed Distribution</t>
  </si>
  <si>
    <t xml:space="preserve">Dollar Amount </t>
  </si>
  <si>
    <t>Research Equipment Reserve</t>
  </si>
  <si>
    <t>Building Use Credits</t>
  </si>
  <si>
    <t>Colleges and Centers ROH</t>
  </si>
  <si>
    <t>Centers F&amp;A Allocation</t>
  </si>
  <si>
    <t>Libraries</t>
  </si>
  <si>
    <t>Research Administration</t>
  </si>
  <si>
    <t>Finance and Administration</t>
  </si>
  <si>
    <t>Enterprise Risk Services</t>
  </si>
  <si>
    <t>University Business Centers</t>
  </si>
  <si>
    <t>University Infrastructure</t>
  </si>
  <si>
    <t>Facilities Services</t>
  </si>
  <si>
    <t xml:space="preserve">Capital Planning </t>
  </si>
  <si>
    <t>Central Reserves</t>
  </si>
  <si>
    <t>Equipment Depreciation</t>
  </si>
  <si>
    <t>Facilities Depreciation</t>
  </si>
  <si>
    <t>Institutional Management funds</t>
  </si>
  <si>
    <t>Academic Colleges</t>
  </si>
  <si>
    <t>Finance and Admin</t>
  </si>
  <si>
    <t>Internatonal Programs</t>
  </si>
  <si>
    <t>Facilities O&amp;M, Energy, Custodial</t>
  </si>
  <si>
    <t>Risk</t>
  </si>
  <si>
    <t>Institutional management Equipment depreciation</t>
  </si>
  <si>
    <t>Institutional Management Depreciation Fund</t>
  </si>
  <si>
    <t>Capital Planning</t>
  </si>
  <si>
    <t>Institutional Management</t>
  </si>
  <si>
    <t>F&amp;A Recovery by Unit</t>
  </si>
  <si>
    <t>RCRV Trend line:</t>
  </si>
  <si>
    <t xml:space="preserve">Estimated Baseline F&amp;A </t>
  </si>
  <si>
    <t>RCRV estimates</t>
  </si>
  <si>
    <t>PMEC SETS Estimates</t>
  </si>
  <si>
    <t>Total Estimates</t>
  </si>
  <si>
    <t>Actual Totals</t>
  </si>
  <si>
    <t>Last 3 Yrs</t>
  </si>
  <si>
    <t>Contingency</t>
  </si>
  <si>
    <t>Ag Sciences</t>
  </si>
  <si>
    <t>ROH</t>
  </si>
  <si>
    <t>Budget</t>
  </si>
  <si>
    <t>Central</t>
  </si>
  <si>
    <t>This budgets to about 95% of expected</t>
  </si>
  <si>
    <t>Updated April 23rd to Cindy's actuals for ROH distribution</t>
  </si>
  <si>
    <t>Enrollment Mgt</t>
  </si>
  <si>
    <t>Recruitment of VP for Enrollment Management</t>
  </si>
  <si>
    <t>Labor relations management resources as needed</t>
  </si>
  <si>
    <t>Cybersecurity initiative Information Technology</t>
  </si>
  <si>
    <t>Cybersecuity initiative</t>
  </si>
  <si>
    <t>Enrollment management recruitment/initiative</t>
  </si>
  <si>
    <t>Labor relations resources</t>
  </si>
  <si>
    <t>IT</t>
  </si>
  <si>
    <t>PCCM</t>
  </si>
  <si>
    <t>PMECS contract position from added F&amp;A</t>
  </si>
  <si>
    <t>MSI as needed, capital or operating</t>
  </si>
  <si>
    <t>Gross Tuition Revs by Category</t>
  </si>
  <si>
    <t>Differential Tuition Gross</t>
  </si>
  <si>
    <t>Business Undergraduate</t>
  </si>
  <si>
    <t>Resident</t>
  </si>
  <si>
    <t>Non-Resident</t>
  </si>
  <si>
    <t>Design Undergraduate</t>
  </si>
  <si>
    <t>Engineering Undergraduate-Pre</t>
  </si>
  <si>
    <t>Engineering Undergraduate-Pro</t>
  </si>
  <si>
    <t>Forestry Undergraduate</t>
  </si>
  <si>
    <t>Honors College (includes a couple cascade students) FYI</t>
  </si>
  <si>
    <t>Business Graduate - MBA</t>
  </si>
  <si>
    <t>Engineering Graduate</t>
  </si>
  <si>
    <t>Pharmacy Graduate</t>
  </si>
  <si>
    <t>Pharmacy Graduate (With Summer)</t>
  </si>
  <si>
    <t>Public Health Graduate</t>
  </si>
  <si>
    <t>Vet Med Graduate</t>
  </si>
  <si>
    <t>Vet Med Graduate (With Summer)</t>
  </si>
  <si>
    <t>Budget Office Detail Estimates July, 2018</t>
  </si>
  <si>
    <t>Use Pharmacy and Vet Med estimates that include summer</t>
  </si>
  <si>
    <t>FY18 Actual</t>
  </si>
  <si>
    <t>2018A</t>
  </si>
  <si>
    <t>2018 Actual</t>
  </si>
  <si>
    <t>Degrees by Home of Major Professor---FY18</t>
  </si>
  <si>
    <t>CORE  RES0001</t>
  </si>
  <si>
    <t>FY18 Budget Share</t>
  </si>
  <si>
    <t>VER19.8</t>
  </si>
  <si>
    <t>FY19 actuals</t>
  </si>
  <si>
    <t>Vet Med was corrected for a revision to the differential tuition calculation.</t>
  </si>
  <si>
    <t>Fiscal Year 2019</t>
  </si>
  <si>
    <t>FY18 Amount</t>
  </si>
  <si>
    <t>FY19 Change</t>
  </si>
  <si>
    <t>OSU-Cascades</t>
  </si>
  <si>
    <t>OSU Total</t>
  </si>
  <si>
    <t>Outcomes</t>
  </si>
  <si>
    <t>BA/BS - Non-Transfers</t>
  </si>
  <si>
    <t>BA/BS - Transfers</t>
  </si>
  <si>
    <t>Masters</t>
  </si>
  <si>
    <t>PhD</t>
  </si>
  <si>
    <t>Professional</t>
  </si>
  <si>
    <t>Grad. Certificate</t>
  </si>
  <si>
    <t>Area of Study</t>
  </si>
  <si>
    <t>Student Populations</t>
  </si>
  <si>
    <t>SCH</t>
  </si>
  <si>
    <t>1_fr_so</t>
  </si>
  <si>
    <t>2_jr_sr</t>
  </si>
  <si>
    <t>3_ma</t>
  </si>
  <si>
    <t>4_phd</t>
  </si>
  <si>
    <t>Mission 
Differentiation</t>
  </si>
  <si>
    <t>MD - Regional Support</t>
  </si>
  <si>
    <t>MD - Mission</t>
  </si>
  <si>
    <t>MD - Research</t>
  </si>
  <si>
    <t>Dual Credit</t>
  </si>
  <si>
    <t>MD - Total</t>
  </si>
  <si>
    <t>Stop Loss/Stop Gain</t>
  </si>
  <si>
    <t>PY Allocation:</t>
  </si>
  <si>
    <t>Final allocation</t>
  </si>
  <si>
    <t>% Change</t>
  </si>
  <si>
    <t>Stop Loss Contributed</t>
  </si>
  <si>
    <t>Stop Loss Received</t>
  </si>
  <si>
    <t>Post-SL % Allocation</t>
  </si>
  <si>
    <t>Post-SL % Change</t>
  </si>
  <si>
    <t>Stop Gain Contributed</t>
  </si>
  <si>
    <t>Stop Gain Received</t>
  </si>
  <si>
    <t>Post-SG % Allocation</t>
  </si>
  <si>
    <t>Post-SG % Change</t>
  </si>
  <si>
    <t>Stop Loss - Calc Only</t>
  </si>
  <si>
    <t>SL Change - Calc Only</t>
  </si>
  <si>
    <t>Stop Gain Calc Only</t>
  </si>
  <si>
    <t>Stop Loss % setting</t>
  </si>
  <si>
    <t>Stop Gain % setting</t>
  </si>
  <si>
    <t>Public University State Programs</t>
  </si>
  <si>
    <t>Statewide Public Services Programs</t>
  </si>
  <si>
    <t>Targeted and One-time Appropriations</t>
  </si>
  <si>
    <t>FY 19 OSU STATE PROGRAMS</t>
  </si>
  <si>
    <t>OSU Fermentation Science</t>
  </si>
  <si>
    <t>Signature Research</t>
  </si>
  <si>
    <t>OSU Ocean Vessels Research</t>
  </si>
  <si>
    <t>Institute for Natural Resources (OSU Only)</t>
  </si>
  <si>
    <t>Oregon Climate Change Research Institute (OSU)</t>
  </si>
  <si>
    <t>OSU Marine Energy Center</t>
  </si>
  <si>
    <t>FY 19 OSU STATEWIDE PUBLIC SERVICES</t>
  </si>
  <si>
    <t>FY 19 OSU ALLOCATION SUMMARY</t>
  </si>
  <si>
    <t xml:space="preserve">Ag. Experiment Station                                                   </t>
  </si>
  <si>
    <t xml:space="preserve">OSU Extension Service                                                  </t>
  </si>
  <si>
    <t xml:space="preserve">Outdoor Schools Program Funded w/ Lottery                       </t>
  </si>
  <si>
    <t xml:space="preserve"> OSU Forest Research                                                         </t>
  </si>
  <si>
    <t>FY 19 OSU TARGETED &amp; ONE-TIME APPROPRIATIONS</t>
  </si>
  <si>
    <t>AES North Willamette (HB5006)                                         $61,200</t>
  </si>
  <si>
    <t>AES - Potato Research (HB5006)                                      </t>
  </si>
  <si>
    <t xml:space="preserve">Molluskan Brood Stock (HB5006)                                      </t>
  </si>
  <si>
    <t>Ocean Acidification (HB5006)                                           </t>
  </si>
  <si>
    <t xml:space="preserve">TOTAL                                                                                  </t>
  </si>
  <si>
    <t>  $627,300</t>
  </si>
  <si>
    <t>FY 19 OSU OTHER FUNDING</t>
  </si>
  <si>
    <t>Sports Lottery</t>
  </si>
  <si>
    <t>SELP</t>
  </si>
  <si>
    <t>Cascades Grad &amp; Research Renovation (HB5006)</t>
  </si>
  <si>
    <t>Ocean Vessels Research, OCCRI, Marine Energy Center, Ocean Acidification</t>
  </si>
  <si>
    <t>Signature Research Centers, Institute for Natural Resources</t>
  </si>
  <si>
    <t>Part of general resource recurring budget now</t>
  </si>
  <si>
    <t>FY18 Athletics from Provost</t>
  </si>
  <si>
    <t>FY19 Athletics increment</t>
  </si>
  <si>
    <t>Diversity funding part of general fund resources</t>
  </si>
  <si>
    <t>Year 3 of 3  of Env. Humanities</t>
  </si>
  <si>
    <t>faculty line from FY16 allocations</t>
  </si>
  <si>
    <t>last year of ADA assessment funding to EOA</t>
  </si>
  <si>
    <t>PHHA</t>
  </si>
  <si>
    <t>Year 3 of increments to Dean</t>
  </si>
  <si>
    <t>Valley chair incumbents support</t>
  </si>
  <si>
    <t>Higgnebotham support</t>
  </si>
  <si>
    <t>Pantula support</t>
  </si>
  <si>
    <t>2019 Allocation Share</t>
  </si>
  <si>
    <t>REVISED</t>
  </si>
  <si>
    <t>*enrollment reserve, contingency are zeroed out elsewhere</t>
  </si>
  <si>
    <t>FRACTION</t>
  </si>
  <si>
    <t>FY19 Adjusted</t>
  </si>
  <si>
    <t>FY19 projected</t>
  </si>
  <si>
    <t>2019 Projected</t>
  </si>
  <si>
    <t>FY19 Projected</t>
  </si>
  <si>
    <t>Degrees 2018-19</t>
  </si>
  <si>
    <t>FY19 Projection</t>
  </si>
  <si>
    <t>FY20 Trend</t>
  </si>
  <si>
    <t>FY20 Scaled</t>
  </si>
  <si>
    <t>FY20 90% budget</t>
  </si>
  <si>
    <t>FY20 LD Foundation</t>
  </si>
  <si>
    <t>FY20 UD Foundation</t>
  </si>
  <si>
    <t>FY20 Grad Foundation</t>
  </si>
  <si>
    <t>2019P</t>
  </si>
  <si>
    <t>FY20 Budget  Share</t>
  </si>
  <si>
    <t>FY20  Allocation</t>
  </si>
  <si>
    <t>FY20 Share of SCH</t>
  </si>
  <si>
    <t>FY20 Weighted UD SCH</t>
  </si>
  <si>
    <t>FY20 Weighted UG Degrees</t>
  </si>
  <si>
    <t>FY20 Weighted Degrees</t>
  </si>
  <si>
    <t>FY20</t>
  </si>
  <si>
    <t>FY20 Graduate Allocation</t>
  </si>
  <si>
    <t>FY20 Graduate Degrees</t>
  </si>
  <si>
    <t>FY20 Graduate Share</t>
  </si>
  <si>
    <t>FY20 Budget SCH</t>
  </si>
  <si>
    <t>FY20 Degrees</t>
  </si>
  <si>
    <t>FY20 Share</t>
  </si>
  <si>
    <t>17-18-19</t>
  </si>
  <si>
    <t>FY20 Unit Share</t>
  </si>
  <si>
    <t>FY20 Allocation</t>
  </si>
  <si>
    <t>FY20 Budget</t>
  </si>
  <si>
    <t>FY2020 Education &amp; General Initial Budget  ---Hybrid Model Development</t>
  </si>
  <si>
    <t>FY20 Projections</t>
  </si>
  <si>
    <t>FY20 Proposal</t>
  </si>
  <si>
    <t>Dollar Amount</t>
  </si>
  <si>
    <t xml:space="preserve">    Research Equipment Reserve &amp; BUC</t>
  </si>
  <si>
    <t>Enrollment Management</t>
  </si>
  <si>
    <t>FY20 Budget Allocation</t>
  </si>
  <si>
    <t>FY20 Changes</t>
  </si>
  <si>
    <t>Contingency, strategic and other funding</t>
  </si>
  <si>
    <t>Salary raise pool</t>
  </si>
  <si>
    <t>Other reserves to distribute to academic units</t>
  </si>
  <si>
    <t>FY20 Initial Budget</t>
  </si>
  <si>
    <t>FY20 Model  Initial Budget</t>
  </si>
  <si>
    <t>OSU Shared Responsibility Budget Model FY20 Version</t>
  </si>
  <si>
    <t>The table below estimates sales, service and other revenues.</t>
  </si>
  <si>
    <t>FY2020 Education &amp; General Initial Budget ---Hybrid Model Development</t>
  </si>
  <si>
    <t>FY20 Estimated Institutional Management (Centrally Held Reserves, pools, and obligations)</t>
  </si>
  <si>
    <t>FY2020 Education &amp; General Initial Budget---Hybrid Model Development</t>
  </si>
  <si>
    <t>FY20 Model Adjusted Initial Budget</t>
  </si>
  <si>
    <t>FY20 Model Allocation</t>
  </si>
  <si>
    <t>Difference: FY20 minus FY19</t>
  </si>
  <si>
    <t>Difference: FY20-FY19</t>
  </si>
  <si>
    <t>FY19 Net Tuition</t>
  </si>
  <si>
    <t>FY19 PUSF</t>
  </si>
  <si>
    <t>BUC Portion of IDC (included in budgeted allocations)</t>
  </si>
  <si>
    <t>FY19 est</t>
  </si>
  <si>
    <t>FY20 Proj</t>
  </si>
  <si>
    <t>none taken</t>
  </si>
  <si>
    <t>No additional overhead taken</t>
  </si>
  <si>
    <t>FY20 On Campus Program Differentials:</t>
  </si>
  <si>
    <t>FY20 Ecampus Differentials:</t>
  </si>
  <si>
    <t>these need to be updated</t>
  </si>
  <si>
    <t>doesn't impact initial budget</t>
  </si>
  <si>
    <t>CORE BUD0500</t>
  </si>
  <si>
    <t>Corvallis AY, no Ecampus, no Cascades, Offered SCH</t>
  </si>
  <si>
    <t>HONORS CORRECTION?</t>
  </si>
  <si>
    <t>2019 Project</t>
  </si>
  <si>
    <t>Business adjustments to old Pre/Pro split just for FY20</t>
  </si>
  <si>
    <t>Totaled</t>
  </si>
  <si>
    <t>Corvallis SCH change:</t>
  </si>
  <si>
    <t>2017-18</t>
  </si>
  <si>
    <t>2018-19P</t>
  </si>
  <si>
    <t>Interdisciplinary Programs</t>
  </si>
  <si>
    <t>Academic Learning Services</t>
  </si>
  <si>
    <t>Doctorate</t>
  </si>
  <si>
    <t>Masters and Professional</t>
  </si>
  <si>
    <t>Certificates and credentials--graduates</t>
  </si>
  <si>
    <t>Certifcates and Other--Undergraduate</t>
  </si>
  <si>
    <t>Total Degrees excluding certificates</t>
  </si>
  <si>
    <t>FY19 Projected May 2019</t>
  </si>
  <si>
    <t>SCH DATA from SCH data and adjusts tab (corrects for Biology, Honors, and Business pro school)</t>
  </si>
  <si>
    <t>Honors hours allocated to colleges teaching them</t>
  </si>
  <si>
    <t>Original allocation approach</t>
  </si>
  <si>
    <t>First minors awarded</t>
  </si>
  <si>
    <t>Undergraduate certificates awarded</t>
  </si>
  <si>
    <t>Minors Awarded?</t>
  </si>
  <si>
    <t>FY19 Actuals</t>
  </si>
  <si>
    <t>FY20 Initial 90% budget</t>
  </si>
  <si>
    <t>FY20 Unit Initial</t>
  </si>
  <si>
    <t>FY18Grad Foundation</t>
  </si>
  <si>
    <t>FY20  Foundations</t>
  </si>
  <si>
    <t>FY19 Budget Share</t>
  </si>
  <si>
    <t xml:space="preserve">FY19 Allocation </t>
  </si>
  <si>
    <t>FY19 Weighted UG Degrees</t>
  </si>
  <si>
    <t>FY19 Weighted UD SCH</t>
  </si>
  <si>
    <t>FY19 Share of SCH</t>
  </si>
  <si>
    <t>FY19 Budget  Share</t>
  </si>
  <si>
    <t>FY20 Dollars</t>
  </si>
  <si>
    <t>FY20 per SCH</t>
  </si>
  <si>
    <t>FY20 per Degree</t>
  </si>
  <si>
    <t>FY13 to FY16 miscounted some UG ceertificates as graduate certificates</t>
  </si>
  <si>
    <t>FY19 Weighted Degrees</t>
  </si>
  <si>
    <t>FY18 Weighted Degrees</t>
  </si>
  <si>
    <t>FY19 Graduate Degrees</t>
  </si>
  <si>
    <t>FY19 Budget SCH</t>
  </si>
  <si>
    <t>FY18  Budget SCH</t>
  </si>
  <si>
    <t>FY18 Graduate Allocation</t>
  </si>
  <si>
    <t>FY19 Graduate Allocation</t>
  </si>
  <si>
    <t>FY18 Gradute Share</t>
  </si>
  <si>
    <t>FY19 Graduate Share</t>
  </si>
  <si>
    <t>FY20 PhD $</t>
  </si>
  <si>
    <t>FY20 MS $</t>
  </si>
  <si>
    <t>7.79% of total revenue</t>
  </si>
  <si>
    <t>24.0% of total revenue</t>
  </si>
  <si>
    <t xml:space="preserve">Waiver pool is </t>
  </si>
  <si>
    <t>7.60% of total revenue</t>
  </si>
  <si>
    <t xml:space="preserve">Academic distribution </t>
  </si>
  <si>
    <t>Central distribution</t>
  </si>
  <si>
    <t>Delta</t>
  </si>
  <si>
    <t>Summer Credit Hour Allocation</t>
  </si>
  <si>
    <t>FY19 Degrees</t>
  </si>
  <si>
    <t>PAC</t>
  </si>
  <si>
    <t>Sdt Fees</t>
  </si>
  <si>
    <t>Res Fees</t>
  </si>
  <si>
    <t>S&amp;S</t>
  </si>
  <si>
    <t>017xx</t>
  </si>
  <si>
    <t>012xx</t>
  </si>
  <si>
    <t>06xxx</t>
  </si>
  <si>
    <t>08xxx</t>
  </si>
  <si>
    <t>Total Fees Sales</t>
  </si>
  <si>
    <t>Instruction &amp; Research</t>
  </si>
  <si>
    <t>Public Health &amp; Human Sciences</t>
  </si>
  <si>
    <t>Earth, Oceanic &amp; Atmospheric Sciences</t>
  </si>
  <si>
    <t>Research - C&amp;I</t>
  </si>
  <si>
    <t>Total Instruction &amp; Research</t>
  </si>
  <si>
    <t>Service, Support, and Management</t>
  </si>
  <si>
    <t>URM - P&amp;M</t>
  </si>
  <si>
    <t>Undergraduate Education - ROTC/NROTC</t>
  </si>
  <si>
    <t>Graduate School Admin</t>
  </si>
  <si>
    <t>Research - Admin</t>
  </si>
  <si>
    <t>Student Affairs - Acad Svcs for Student Athletes</t>
  </si>
  <si>
    <t>Student Affairs - Intern. Scholar &amp; Faculty Services</t>
  </si>
  <si>
    <t>OSU Go</t>
  </si>
  <si>
    <t>F&amp;A - Business Affairs</t>
  </si>
  <si>
    <t>F&amp;A - PCMM</t>
  </si>
  <si>
    <t>F&amp;A - Dept Public Safety</t>
  </si>
  <si>
    <t>F&amp;A - Risk Management</t>
  </si>
  <si>
    <t>F&amp;A - UFIO - Energy Center</t>
  </si>
  <si>
    <t>Total Service, Support, &amp; Management</t>
  </si>
  <si>
    <t>Fy17</t>
  </si>
  <si>
    <t>Fy19</t>
  </si>
  <si>
    <t>$/SCH</t>
  </si>
  <si>
    <t>Differental and ROH on dedicated funds page</t>
  </si>
  <si>
    <t>General Revenue</t>
  </si>
  <si>
    <t>Without Ecampus and Summer</t>
  </si>
  <si>
    <t>FY20Scaled</t>
  </si>
  <si>
    <t>Remaining pooled tuition and public university support fund dollars after Dedicated Funds and Capital Renewal Funds (including debt and insurance increments)  are allocated</t>
  </si>
  <si>
    <t>FY20 @40M</t>
  </si>
  <si>
    <t>OSU Increment</t>
  </si>
  <si>
    <t>FY20 @60M</t>
  </si>
  <si>
    <t>FY20 @80M</t>
  </si>
  <si>
    <t>FY20 @120M</t>
  </si>
  <si>
    <t>TO USE</t>
  </si>
  <si>
    <t>FY19 Totals</t>
  </si>
  <si>
    <t>LEVEL</t>
  </si>
  <si>
    <t>FY20 @100M</t>
  </si>
  <si>
    <t>CIP to 26</t>
  </si>
  <si>
    <t>FY20 Totals</t>
  </si>
  <si>
    <t>CORRECT PRE/PRO TO ACTUAL?</t>
  </si>
  <si>
    <t>Business for no correct</t>
  </si>
  <si>
    <t>Business for Correct</t>
  </si>
  <si>
    <t>May Grad Rpt</t>
  </si>
  <si>
    <t>FY18 May</t>
  </si>
  <si>
    <t>May Cascades</t>
  </si>
  <si>
    <t xml:space="preserve">REGISTRAR </t>
  </si>
  <si>
    <t>FY20 Estimate</t>
  </si>
  <si>
    <t>Resident tuition per qtr</t>
  </si>
  <si>
    <t>Non-res tuition per qtr</t>
  </si>
  <si>
    <t>Calculated tuition</t>
  </si>
  <si>
    <t xml:space="preserve">  resident tuition</t>
  </si>
  <si>
    <t>non-resident tuition</t>
  </si>
  <si>
    <t>General Resources</t>
  </si>
  <si>
    <t>Targeted Resources</t>
  </si>
  <si>
    <t>Initial Actual Budget</t>
  </si>
  <si>
    <t>Total Target Budget</t>
  </si>
  <si>
    <t>WEIGHTS TO USE</t>
  </si>
  <si>
    <t>Updated Weights?</t>
  </si>
  <si>
    <t>KIN Change?</t>
  </si>
  <si>
    <t>Updated for FY20 with Majors Counts and Updated Weights (Outliers removed)</t>
  </si>
  <si>
    <t>Ratios to 8 Upper Division Discipline Average: Before Adjustment for Differential Tuition</t>
  </si>
  <si>
    <t>UESP</t>
  </si>
  <si>
    <t>Without Engineering</t>
  </si>
  <si>
    <t>WITH KINESIOLOGY CHANGE</t>
  </si>
  <si>
    <t>Ratios to Upper Division Social Science (1.00), capped for differential tuition contribution</t>
  </si>
  <si>
    <t>Majors counts updated only (no weights adjustments)</t>
  </si>
  <si>
    <t>FY2019 Education &amp; General Initial Budget  ---Hybrid Model Development</t>
  </si>
  <si>
    <t>FY20 from FY19 Delta</t>
  </si>
  <si>
    <t>FY20 Initial Institutional management detailed allocation (Budget reserve net is treated elsewhere in this model approach)</t>
  </si>
  <si>
    <t>FY19 Centrally Managed Funds</t>
  </si>
  <si>
    <t>FY20- FY19 Incremental Difference</t>
  </si>
  <si>
    <t xml:space="preserve">FY20 Centrally Managed Funds </t>
  </si>
  <si>
    <t>FY20 Unclassified Mid-Year Raise</t>
  </si>
  <si>
    <t>FY20 Classified Mid-year Step &amp; COLA</t>
  </si>
  <si>
    <t>Financial Advisor Consulting</t>
  </si>
  <si>
    <t>Benton County Historical Society (FY20 is yr 4 of 4 for agreement)</t>
  </si>
  <si>
    <t>Assessments to be received for Business Centers</t>
  </si>
  <si>
    <t>FY19 IM</t>
  </si>
  <si>
    <t>FY20 Initial Institutional management by estimated distribution in major categories</t>
  </si>
  <si>
    <t>FY20 Estimated Central Institutional management by model distribution category</t>
  </si>
  <si>
    <t>Kinesiology, old weights, updated majors</t>
  </si>
  <si>
    <t>Old weights</t>
  </si>
  <si>
    <t>FY20 Raise rollups</t>
  </si>
  <si>
    <t>FY19 Initial less strategic, after recission</t>
  </si>
  <si>
    <t>Compliance office personnel reduction</t>
  </si>
  <si>
    <t>FY19 Initial Budget After Recission</t>
  </si>
  <si>
    <t>ALS to Student Affairs; Defense Education, Overseas Study to Undergraduate Education; ID programs to CEOAS all are ENSC</t>
  </si>
  <si>
    <t>FY20 Reserve allocation</t>
  </si>
  <si>
    <t>Undergrad Ed</t>
  </si>
  <si>
    <t>FY19 Productivity</t>
  </si>
  <si>
    <t>FY19 Corrected</t>
  </si>
  <si>
    <t>FY19 Other, Strategic,  and Dedicated</t>
  </si>
  <si>
    <t>FY19 General Resources (other than productivity)</t>
  </si>
  <si>
    <t>FY19 Mid-year Recission</t>
  </si>
  <si>
    <t>From Cindys v101118</t>
  </si>
  <si>
    <t>International Pgm</t>
  </si>
  <si>
    <t>Bus. Centers</t>
  </si>
  <si>
    <t>FY19 Other</t>
  </si>
  <si>
    <t>FY20 Strategic, Dedicated, Other</t>
  </si>
  <si>
    <t>FY20 Productivity</t>
  </si>
  <si>
    <t>FY20 Tax Allocation</t>
  </si>
  <si>
    <t xml:space="preserve">FY20 Initial Budget </t>
  </si>
  <si>
    <t>FY20 Balance General Resources (Flat Funding)</t>
  </si>
  <si>
    <t>Tax pool resources</t>
  </si>
  <si>
    <t>Checksum:</t>
  </si>
  <si>
    <t>Net here</t>
  </si>
  <si>
    <t>Net from 6a</t>
  </si>
  <si>
    <t>Balance</t>
  </si>
  <si>
    <t>FY19  Initial Budget After Recission</t>
  </si>
  <si>
    <t>Bridge Funding Science</t>
  </si>
  <si>
    <t>FY21</t>
  </si>
  <si>
    <t>FY22</t>
  </si>
  <si>
    <t>FY23</t>
  </si>
  <si>
    <t>Bridge Funding Education</t>
  </si>
  <si>
    <t>$1.9M</t>
  </si>
  <si>
    <t>$1.2M</t>
  </si>
  <si>
    <t>$0.6M</t>
  </si>
  <si>
    <t>$0M</t>
  </si>
  <si>
    <t>$475K</t>
  </si>
  <si>
    <t>$385K</t>
  </si>
  <si>
    <t>$200K</t>
  </si>
  <si>
    <t>FY20Targeted and Dedicated*</t>
  </si>
  <si>
    <t>FY20 Compliance Adjustments</t>
  </si>
  <si>
    <t>Unclassified Salaries</t>
  </si>
  <si>
    <t>OPE</t>
  </si>
  <si>
    <t>To Faculty Affairs (Viggiani)</t>
  </si>
  <si>
    <t>To Public Safety (Barba)</t>
  </si>
  <si>
    <t>Salary</t>
  </si>
  <si>
    <t>Compliance Balance</t>
  </si>
  <si>
    <t>Viggiani from Compliance</t>
  </si>
  <si>
    <t>Barba to Public Safety from compliance</t>
  </si>
  <si>
    <t>At $100M contingency for need-based aid</t>
  </si>
  <si>
    <t>Tuition reserve hedge pending enrollment</t>
  </si>
  <si>
    <t>Target Growth Budget</t>
  </si>
  <si>
    <t>Assumes 16 students per year additional through FY22</t>
  </si>
  <si>
    <t>Yellow=actual</t>
  </si>
  <si>
    <t>3% per year annual tuition increases</t>
  </si>
  <si>
    <t>Orange= estimated based on old budgeting</t>
  </si>
  <si>
    <t>FY18  additional tuition</t>
  </si>
  <si>
    <t>Extra Differential  + 60% base new students over FY17</t>
  </si>
  <si>
    <t>Increment per year from new students</t>
  </si>
  <si>
    <t>3% on existing differential deal</t>
  </si>
  <si>
    <t>Reductions</t>
  </si>
  <si>
    <t>New Position funding</t>
  </si>
  <si>
    <t>Salaries, benefits, remissions, etc.</t>
  </si>
  <si>
    <t>Remissions, other*</t>
  </si>
  <si>
    <t>*going forward a college cost and decision</t>
  </si>
  <si>
    <t>Model</t>
  </si>
  <si>
    <t>General resource plus tuition less reduction</t>
  </si>
  <si>
    <t>Actual general resource budget</t>
  </si>
  <si>
    <t>Delta () is short to the college</t>
  </si>
  <si>
    <t>Targeted funding</t>
  </si>
  <si>
    <t>State targeted</t>
  </si>
  <si>
    <t>Fees, Sales, Services</t>
  </si>
  <si>
    <t>F&amp;A Recvoery</t>
  </si>
  <si>
    <t>Total Actual Initial Budget</t>
  </si>
  <si>
    <t>Estimated Promised Initial Budget</t>
  </si>
  <si>
    <t>One-time settleup</t>
  </si>
  <si>
    <t>The FY19 shortall is now $290K instead of about $850K because original calculation counted new student revenue twice</t>
  </si>
  <si>
    <t>100% revenue budget would include:</t>
  </si>
  <si>
    <t>Total tuition paid by Vet Med students</t>
  </si>
  <si>
    <t>State targeted funding for Vet Med</t>
  </si>
  <si>
    <t>State SSCM enrollment degree allocation for Vet Med students</t>
  </si>
  <si>
    <t>Fees, sales, services</t>
  </si>
  <si>
    <t>Ecampus Summer revenues if any</t>
  </si>
  <si>
    <t>Small overhead charge (7-8%)</t>
  </si>
  <si>
    <t>Community support fund to equal target budget</t>
  </si>
  <si>
    <t>This tries to estimate what the agreement with Vet Med was for growth in the incoming non-resident class.</t>
  </si>
  <si>
    <t>Presidential salary adjustments placeholder</t>
  </si>
  <si>
    <t>DUE less in dedicated</t>
  </si>
  <si>
    <t>SA down in sales/fees</t>
  </si>
  <si>
    <t>Balance to Central</t>
  </si>
  <si>
    <t xml:space="preserve">   (not allocated out yet)</t>
  </si>
  <si>
    <t>OSP Sergeant</t>
  </si>
  <si>
    <t>OSP two patrol</t>
  </si>
  <si>
    <t>OSP rollup</t>
  </si>
  <si>
    <t>Vehicles</t>
  </si>
  <si>
    <t>0.33 Advance leadership</t>
  </si>
  <si>
    <t>Audit contract escalators</t>
  </si>
  <si>
    <t>Next position registrar</t>
  </si>
  <si>
    <t>Transfer coordinator OCR</t>
  </si>
  <si>
    <t>Childcare commitment increments</t>
  </si>
  <si>
    <t>Incremental Commitments</t>
  </si>
  <si>
    <t>G6:G8 sum</t>
  </si>
  <si>
    <t>Foundations</t>
  </si>
  <si>
    <t>UG</t>
  </si>
  <si>
    <t>Grad</t>
  </si>
  <si>
    <t>Participants</t>
  </si>
  <si>
    <t>Cascdes</t>
  </si>
  <si>
    <t>Preliminaryry FY20 budget before any adjustments:</t>
  </si>
  <si>
    <t>Roll  up budget with 1/2 of inflation funded:</t>
  </si>
  <si>
    <t>Plus new student increment promised</t>
  </si>
  <si>
    <t>Plus additonal new position</t>
  </si>
  <si>
    <t>Total FY19 target budget</t>
  </si>
  <si>
    <t>Plus 3% differential growth</t>
  </si>
  <si>
    <t>Delta to fund</t>
  </si>
  <si>
    <t>1/2 inflation rollup budget</t>
  </si>
  <si>
    <t>RERF and BUC</t>
  </si>
  <si>
    <t>Distributed For reserve</t>
  </si>
  <si>
    <t>OSU GO travel registry</t>
  </si>
  <si>
    <t>CRM iniative consulting and director</t>
  </si>
  <si>
    <t>ID card support and upgrade</t>
  </si>
  <si>
    <t>Balance Johnson Hall O&amp;M deferred from FY18</t>
  </si>
  <si>
    <t>Rollup with 1/2 of total inflation (1.9%) on general resrouces</t>
  </si>
  <si>
    <t>(sum of orange highlighted)</t>
  </si>
  <si>
    <t>FY19 plus Historical Salary/OPE Rollup funding</t>
  </si>
  <si>
    <t>Bridge Funding PHHS</t>
  </si>
  <si>
    <t>Bridge Funding CLA</t>
  </si>
  <si>
    <t>Change log starting June 17th</t>
  </si>
  <si>
    <t>SHB</t>
  </si>
  <si>
    <t xml:space="preserve">updated insurance amount based on new estimates </t>
  </si>
  <si>
    <t>corrected service support incremental allocations in formulas (Student Affairs, Risk, Facilities)</t>
  </si>
  <si>
    <t>to 2,150,000</t>
  </si>
  <si>
    <t>Summary of FY19 to FY20 changes in major categories---yellow highlights show offsetting adjustments to FY19 sources</t>
  </si>
  <si>
    <t>FY19 Principal E&amp;G Budget Components</t>
  </si>
  <si>
    <t>FY20 Principal E&amp;G Budget Components</t>
  </si>
  <si>
    <t>FY18 Original</t>
  </si>
  <si>
    <t>FY18 Adjusted</t>
  </si>
  <si>
    <t>Dedicated</t>
  </si>
  <si>
    <t>Ecampus &amp; Summer</t>
  </si>
  <si>
    <t>Other Productivity</t>
  </si>
  <si>
    <t>Community Support</t>
  </si>
  <si>
    <t>Other including pullback</t>
  </si>
  <si>
    <t>Total (from model workbook`</t>
  </si>
  <si>
    <t>FY18 to FY20 $</t>
  </si>
  <si>
    <t xml:space="preserve"> Percentage</t>
  </si>
  <si>
    <t>Interdisciplinary Graduate Pgms</t>
  </si>
  <si>
    <t xml:space="preserve">    Research (Centers / Institutes )</t>
  </si>
  <si>
    <t>updated FY18 to FY20 tab, additional pullback necessary to balance</t>
  </si>
  <si>
    <t>FY19 Adjusted Initial Budget</t>
  </si>
  <si>
    <t>Needs to be updated</t>
  </si>
  <si>
    <t>Colleges</t>
  </si>
  <si>
    <t>Centers, graduate programs</t>
  </si>
  <si>
    <t>President's units</t>
  </si>
  <si>
    <t>Provost's units</t>
  </si>
  <si>
    <t>Finance and admin</t>
  </si>
  <si>
    <t>Facilities and Plant</t>
  </si>
  <si>
    <t>Research admin</t>
  </si>
  <si>
    <t>BUC RERF*</t>
  </si>
  <si>
    <t>IM</t>
  </si>
  <si>
    <t>Freccia</t>
  </si>
  <si>
    <t>Kenney</t>
  </si>
  <si>
    <t>Bangs</t>
  </si>
  <si>
    <t>To/(Frm) Executive</t>
  </si>
  <si>
    <t>Viggiani</t>
  </si>
  <si>
    <t>Barba</t>
  </si>
  <si>
    <t>Compliance</t>
  </si>
  <si>
    <t>From student affairs to OID (Kenney)</t>
  </si>
  <si>
    <t>From Legal to URM (Bangs)</t>
  </si>
  <si>
    <t xml:space="preserve">    Faculty Affairs</t>
  </si>
  <si>
    <t>$525,000 moved to base; $25k to central</t>
  </si>
  <si>
    <t>FY19 Initial after recission and strategic</t>
  </si>
  <si>
    <t>FY19 budget recission</t>
  </si>
  <si>
    <t>Move of Student Affairs support to OID (Kenney salary)</t>
  </si>
  <si>
    <t>Transfer credit positions, support (may revert to OCR costs)</t>
  </si>
  <si>
    <t xml:space="preserve">$71k moved to Enrollment Management for Boeckenstedt </t>
  </si>
  <si>
    <t>Salary increase for Boeckenstedt</t>
  </si>
  <si>
    <t xml:space="preserve">UFIO </t>
  </si>
  <si>
    <t>1 mo O&amp;M operations Research Way building - funded $500k in FY19</t>
  </si>
  <si>
    <t>Linn Benton Loop and Philomath Connection</t>
  </si>
  <si>
    <t>New Forest Science Complex (replacing Peavy)</t>
  </si>
  <si>
    <t>Advanced Wood Products</t>
  </si>
  <si>
    <t>Magruder Expansion</t>
  </si>
  <si>
    <t>Campus Operations Building (Former Foundation)</t>
  </si>
  <si>
    <t>President's Residence</t>
  </si>
  <si>
    <t>Cordley - savings from move out</t>
  </si>
  <si>
    <t>UFIO - Custodial Contract</t>
  </si>
  <si>
    <t>UFIO Custodial Increase</t>
  </si>
  <si>
    <t>Biosafety Officer</t>
  </si>
  <si>
    <t>Procurement Contract Officer</t>
  </si>
  <si>
    <t>Youth Safety Officer</t>
  </si>
  <si>
    <t>External audit cost increase</t>
  </si>
  <si>
    <t>CMLC</t>
  </si>
  <si>
    <t>PMECS sets</t>
  </si>
  <si>
    <t xml:space="preserve">Enrollment Marketing Initiative </t>
  </si>
  <si>
    <t>MSI</t>
  </si>
  <si>
    <t>MSI O&amp;M starting Feb 2020 (72,000sqft x $12 monthly)</t>
  </si>
  <si>
    <t>MSI O&amp;M</t>
  </si>
  <si>
    <t>Ecampus #</t>
  </si>
  <si>
    <t>cybersecurity moved from 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</si>
</sst>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0000_);_(* \(#,##0.0000\);_(* &quot;-&quot;??_);_(@_)"/>
    <numFmt numFmtId="168" formatCode="0.0000"/>
    <numFmt numFmtId="169" formatCode="_(&quot;$&quot;* #,##0.0000_);_(&quot;$&quot;* \(#,##0.0000\);_(&quot;$&quot;* &quot;-&quot;??_);_(@_)"/>
    <numFmt numFmtId="170" formatCode="0.0"/>
    <numFmt numFmtId="171" formatCode="0.000"/>
    <numFmt numFmtId="172" formatCode="[$-10409]#,##0;\(#,##0\)"/>
    <numFmt numFmtId="173" formatCode="[$-10409]#,##0.00;\(#,##0.00\)"/>
    <numFmt numFmtId="174" formatCode="0.00000000000000%"/>
    <numFmt numFmtId="175" formatCode="[$-10409]#,##0.000;\(#,##0.000\)"/>
    <numFmt numFmtId="176" formatCode="_(* #,##0.000_);_(* \(#,##0.000\);_(* &quot;-&quot;??_);_(@_)"/>
    <numFmt numFmtId="177" formatCode="[$-10409]#,##0.0;\(#,##0.0\)"/>
    <numFmt numFmtId="178" formatCode="_(* #,##0_);_(* \(#,##0\);_(* &quot;-&quot;?_);_(@_)"/>
    <numFmt numFmtId="179" formatCode="_(* #,##0.000000_);_(* \(#,##0.000000\);_(* &quot;-&quot;??_);_(@_)"/>
    <numFmt numFmtId="180" formatCode="_(&quot;$&quot;* #,##0_);_(&quot;$&quot;* \(#,##0\);_(&quot;$&quot;* &quot;-&quot;???_);_(@_)"/>
    <numFmt numFmtId="181" formatCode="0.0000%"/>
    <numFmt numFmtId="182" formatCode="#,##0.0_);\(#,##0.0\)"/>
  </numFmts>
  <fonts count="148">
    <font>
      <sz val="12"/>
      <color theme="1"/>
      <name val="Calibri"/>
      <family val="2"/>
      <scheme val="minor"/>
    </font>
    <font>
      <sz val="12"/>
      <color theme="1"/>
      <name val="Calibri"/>
      <family val="2"/>
      <scheme val="minor"/>
    </font>
    <font>
      <sz val="12"/>
      <color theme="1"/>
      <name val="Calibri"/>
      <family val="2"/>
      <charset val="238"/>
      <scheme val="minor"/>
    </font>
    <font>
      <b/>
      <sz val="12"/>
      <color theme="1"/>
      <name val="Calibri"/>
      <family val="2"/>
      <charset val="238"/>
      <scheme val="minor"/>
    </font>
    <font>
      <b/>
      <sz val="11"/>
      <color theme="1"/>
      <name val="Calibri"/>
      <family val="2"/>
      <scheme val="minor"/>
    </font>
    <font>
      <sz val="11"/>
      <color theme="1"/>
      <name val="Calibri"/>
      <family val="2"/>
      <scheme val="minor"/>
    </font>
    <font>
      <sz val="11"/>
      <color indexed="8"/>
      <name val="Calibri"/>
      <family val="2"/>
      <scheme val="minor"/>
    </font>
    <font>
      <b/>
      <i/>
      <sz val="11"/>
      <color rgb="FFFF0000"/>
      <name val="Calibri"/>
      <family val="2"/>
      <scheme val="minor"/>
    </font>
    <font>
      <sz val="11"/>
      <color rgb="FFFF0000"/>
      <name val="Calibri"/>
      <family val="2"/>
      <scheme val="minor"/>
    </font>
    <font>
      <b/>
      <sz val="12"/>
      <name val="Calibri"/>
      <family val="2"/>
      <scheme val="minor"/>
    </font>
    <font>
      <b/>
      <sz val="11"/>
      <name val="Calibri"/>
      <family val="2"/>
      <scheme val="minor"/>
    </font>
    <font>
      <b/>
      <i/>
      <sz val="11"/>
      <color theme="1"/>
      <name val="Calibri"/>
      <family val="2"/>
      <scheme val="minor"/>
    </font>
    <font>
      <u/>
      <sz val="12"/>
      <color theme="10"/>
      <name val="Calibri"/>
      <family val="2"/>
      <charset val="238"/>
      <scheme val="minor"/>
    </font>
    <font>
      <u/>
      <sz val="12"/>
      <color theme="11"/>
      <name val="Calibri"/>
      <family val="2"/>
      <charset val="238"/>
      <scheme val="minor"/>
    </font>
    <font>
      <i/>
      <sz val="12"/>
      <color theme="1"/>
      <name val="Calibri"/>
      <family val="2"/>
      <scheme val="minor"/>
    </font>
    <font>
      <sz val="9"/>
      <name val="Geneva"/>
      <family val="2"/>
    </font>
    <font>
      <b/>
      <sz val="14"/>
      <name val="Trebuchet MS"/>
      <family val="2"/>
    </font>
    <font>
      <sz val="9"/>
      <name val="Trebuchet MS"/>
      <family val="2"/>
    </font>
    <font>
      <b/>
      <sz val="12"/>
      <name val="Trebuchet MS"/>
      <family val="2"/>
    </font>
    <font>
      <b/>
      <sz val="12"/>
      <color rgb="FFFF0000"/>
      <name val="Trebuchet MS"/>
      <family val="2"/>
    </font>
    <font>
      <b/>
      <sz val="10"/>
      <color indexed="8"/>
      <name val="Trebuchet MS"/>
      <family val="2"/>
    </font>
    <font>
      <b/>
      <sz val="10"/>
      <name val="Trebuchet MS"/>
      <family val="2"/>
    </font>
    <font>
      <b/>
      <sz val="10"/>
      <color indexed="8"/>
      <name val="Arial"/>
      <family val="2"/>
    </font>
    <font>
      <sz val="10"/>
      <name val="Arial"/>
      <family val="2"/>
    </font>
    <font>
      <b/>
      <sz val="10"/>
      <name val="Arial"/>
      <family val="2"/>
    </font>
    <font>
      <sz val="10"/>
      <name val="Trebuchet MS"/>
      <family val="2"/>
    </font>
    <font>
      <b/>
      <sz val="10"/>
      <color rgb="FFFF0000"/>
      <name val="Trebuchet MS"/>
      <family val="2"/>
    </font>
    <font>
      <b/>
      <sz val="10"/>
      <color theme="3" tint="0.39997558519241921"/>
      <name val="Trebuchet MS"/>
      <family val="2"/>
    </font>
    <font>
      <b/>
      <sz val="9"/>
      <color indexed="81"/>
      <name val="Tahoma"/>
      <family val="2"/>
    </font>
    <font>
      <sz val="9"/>
      <color indexed="81"/>
      <name val="Tahoma"/>
      <family val="2"/>
    </font>
    <font>
      <b/>
      <sz val="12"/>
      <name val="Arial"/>
      <family val="2"/>
    </font>
    <font>
      <b/>
      <u/>
      <sz val="10"/>
      <name val="Arial"/>
      <family val="2"/>
    </font>
    <font>
      <b/>
      <sz val="8"/>
      <color indexed="81"/>
      <name val="Tahoma"/>
      <family val="2"/>
    </font>
    <font>
      <sz val="8"/>
      <color indexed="81"/>
      <name val="Tahoma"/>
      <family val="2"/>
    </font>
    <font>
      <sz val="16"/>
      <name val="Trebuchet MS"/>
      <family val="2"/>
    </font>
    <font>
      <sz val="12"/>
      <name val="Trebuchet MS"/>
      <family val="2"/>
    </font>
    <font>
      <sz val="12"/>
      <name val="Geneva"/>
      <family val="2"/>
    </font>
    <font>
      <sz val="12"/>
      <name val="Arial"/>
      <family val="2"/>
    </font>
    <font>
      <sz val="12"/>
      <color rgb="FFFF0000"/>
      <name val="Trebuchet MS"/>
      <family val="2"/>
    </font>
    <font>
      <b/>
      <sz val="12"/>
      <name val="Geneva"/>
      <family val="2"/>
    </font>
    <font>
      <sz val="11"/>
      <color rgb="FF00000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2"/>
      <color theme="1"/>
      <name val="Arial"/>
      <family val="2"/>
    </font>
    <font>
      <b/>
      <sz val="8"/>
      <name val="Arial"/>
      <family val="2"/>
    </font>
    <font>
      <sz val="10"/>
      <color theme="1"/>
      <name val="Arial"/>
      <family val="2"/>
    </font>
    <font>
      <sz val="12"/>
      <color rgb="FF000000"/>
      <name val="Calibri"/>
      <family val="2"/>
      <charset val="238"/>
      <scheme val="minor"/>
    </font>
    <font>
      <sz val="10"/>
      <color rgb="FF000000"/>
      <name val="Arial"/>
      <family val="2"/>
    </font>
    <font>
      <b/>
      <sz val="14"/>
      <color theme="1"/>
      <name val="Calibri"/>
      <family val="2"/>
      <scheme val="minor"/>
    </font>
    <font>
      <b/>
      <i/>
      <sz val="12"/>
      <color theme="1"/>
      <name val="Calibri"/>
      <family val="2"/>
      <scheme val="minor"/>
    </font>
    <font>
      <sz val="8"/>
      <name val="Calibri"/>
      <family val="2"/>
      <charset val="238"/>
      <scheme val="minor"/>
    </font>
    <font>
      <sz val="13"/>
      <color theme="1"/>
      <name val="Calibri"/>
      <family val="2"/>
      <scheme val="minor"/>
    </font>
    <font>
      <b/>
      <sz val="11"/>
      <name val="Arial"/>
      <family val="2"/>
    </font>
    <font>
      <sz val="11"/>
      <name val="Arial"/>
      <family val="2"/>
    </font>
    <font>
      <sz val="9"/>
      <color theme="1"/>
      <name val="TimesNewRomanPSMT"/>
    </font>
    <font>
      <sz val="10"/>
      <color theme="1"/>
      <name val="TimesNewRomanPSMT"/>
    </font>
    <font>
      <sz val="10"/>
      <color rgb="FF000000"/>
      <name val="TimesNewRomanPSMT"/>
    </font>
    <font>
      <sz val="9"/>
      <color rgb="FF000000"/>
      <name val="TimesNewRomanPSMT"/>
    </font>
    <font>
      <b/>
      <sz val="10"/>
      <color theme="1"/>
      <name val="Arial"/>
      <family val="2"/>
    </font>
    <font>
      <b/>
      <vertAlign val="superscript"/>
      <sz val="10"/>
      <name val="Arial"/>
      <family val="2"/>
    </font>
    <font>
      <vertAlign val="superscript"/>
      <sz val="12"/>
      <color theme="1"/>
      <name val="Calibri"/>
      <family val="2"/>
      <scheme val="minor"/>
    </font>
    <font>
      <b/>
      <i/>
      <sz val="14"/>
      <color theme="1"/>
      <name val="Calibri"/>
      <family val="2"/>
      <scheme val="minor"/>
    </font>
    <font>
      <sz val="12"/>
      <color theme="0"/>
      <name val="Calibri"/>
      <family val="2"/>
      <charset val="136"/>
      <scheme val="minor"/>
    </font>
    <font>
      <b/>
      <u/>
      <sz val="12"/>
      <name val="Trebuchet MS"/>
      <family val="2"/>
    </font>
    <font>
      <i/>
      <sz val="10"/>
      <color rgb="FF000000"/>
      <name val="Calibri"/>
      <family val="2"/>
      <scheme val="minor"/>
    </font>
    <font>
      <sz val="10"/>
      <name val="Calibri"/>
      <family val="2"/>
      <scheme val="minor"/>
    </font>
    <font>
      <sz val="10"/>
      <color theme="0"/>
      <name val="Arial"/>
      <family val="2"/>
    </font>
    <font>
      <b/>
      <sz val="16"/>
      <color theme="1"/>
      <name val="Calibri"/>
      <family val="2"/>
      <scheme val="minor"/>
    </font>
    <font>
      <b/>
      <sz val="10"/>
      <color indexed="8"/>
      <name val="Calibri"/>
      <family val="2"/>
      <scheme val="minor"/>
    </font>
    <font>
      <b/>
      <sz val="7.75"/>
      <color indexed="8"/>
      <name val="Roboto"/>
    </font>
    <font>
      <b/>
      <sz val="10"/>
      <name val="Calibri"/>
      <family val="2"/>
      <scheme val="minor"/>
    </font>
    <font>
      <b/>
      <sz val="10"/>
      <color rgb="FF000000"/>
      <name val="Calibri"/>
      <family val="2"/>
    </font>
    <font>
      <sz val="10"/>
      <color rgb="FF000000"/>
      <name val="Calibri"/>
      <family val="2"/>
    </font>
    <font>
      <i/>
      <sz val="10"/>
      <color theme="1"/>
      <name val="Calibri"/>
      <family val="2"/>
      <scheme val="minor"/>
    </font>
    <font>
      <b/>
      <sz val="8"/>
      <color rgb="FF000000"/>
      <name val="Roboto"/>
    </font>
    <font>
      <sz val="9"/>
      <color theme="1"/>
      <name val="Calibri"/>
      <family val="2"/>
      <scheme val="minor"/>
    </font>
    <font>
      <b/>
      <sz val="9"/>
      <name val="Arial"/>
      <family val="2"/>
    </font>
    <font>
      <sz val="24"/>
      <name val="Calibri"/>
      <family val="2"/>
      <scheme val="minor"/>
    </font>
    <font>
      <b/>
      <sz val="24"/>
      <name val="Calibri"/>
      <family val="2"/>
      <scheme val="minor"/>
    </font>
    <font>
      <sz val="12"/>
      <name val="Calibri"/>
      <family val="2"/>
      <scheme val="minor"/>
    </font>
    <font>
      <b/>
      <sz val="10"/>
      <color theme="0"/>
      <name val="Calibri"/>
      <family val="2"/>
      <scheme val="minor"/>
    </font>
    <font>
      <b/>
      <i/>
      <sz val="10"/>
      <color theme="0"/>
      <name val="Calibri"/>
      <family val="2"/>
      <scheme val="minor"/>
    </font>
    <font>
      <b/>
      <i/>
      <sz val="11"/>
      <name val="Calibri"/>
      <family val="2"/>
      <scheme val="minor"/>
    </font>
    <font>
      <b/>
      <i/>
      <sz val="11"/>
      <color indexed="8"/>
      <name val="Calibri"/>
      <family val="2"/>
      <scheme val="minor"/>
    </font>
    <font>
      <b/>
      <i/>
      <sz val="10"/>
      <name val="Calibri"/>
      <family val="2"/>
      <scheme val="minor"/>
    </font>
    <font>
      <b/>
      <sz val="10"/>
      <color rgb="FFFF0000"/>
      <name val="Calibri"/>
      <family val="2"/>
      <scheme val="minor"/>
    </font>
    <font>
      <b/>
      <i/>
      <sz val="10"/>
      <color indexed="8"/>
      <name val="Calibri"/>
      <family val="2"/>
      <scheme val="minor"/>
    </font>
    <font>
      <i/>
      <sz val="10"/>
      <name val="Calibri"/>
      <family val="2"/>
      <scheme val="minor"/>
    </font>
    <font>
      <b/>
      <i/>
      <sz val="10"/>
      <color rgb="FFFF0000"/>
      <name val="Calibri"/>
      <family val="2"/>
      <scheme val="minor"/>
    </font>
    <font>
      <b/>
      <i/>
      <sz val="11"/>
      <color theme="0"/>
      <name val="Calibri"/>
      <family val="2"/>
      <scheme val="minor"/>
    </font>
    <font>
      <b/>
      <i/>
      <sz val="10"/>
      <color theme="1"/>
      <name val="Calibri"/>
      <family val="2"/>
      <scheme val="minor"/>
    </font>
    <font>
      <sz val="10"/>
      <color indexed="8"/>
      <name val="Calibri"/>
      <family val="2"/>
      <scheme val="minor"/>
    </font>
    <font>
      <b/>
      <sz val="10"/>
      <color rgb="FF000000"/>
      <name val="Arial"/>
      <family val="2"/>
    </font>
    <font>
      <sz val="14"/>
      <color theme="1"/>
      <name val="Calibri"/>
      <family val="2"/>
      <scheme val="minor"/>
    </font>
    <font>
      <b/>
      <sz val="12"/>
      <color rgb="FF000000"/>
      <name val="Calibri"/>
      <family val="2"/>
      <scheme val="minor"/>
    </font>
    <font>
      <sz val="10"/>
      <color rgb="FFFF0000"/>
      <name val="Calibri"/>
      <family val="2"/>
      <charset val="136"/>
      <scheme val="minor"/>
    </font>
    <font>
      <b/>
      <u/>
      <sz val="10"/>
      <color theme="1"/>
      <name val="Arial"/>
      <family val="2"/>
    </font>
    <font>
      <sz val="8"/>
      <color theme="1"/>
      <name val="Calibri"/>
      <family val="2"/>
      <scheme val="minor"/>
    </font>
    <font>
      <sz val="8"/>
      <name val="Trebuchet MS"/>
      <family val="2"/>
    </font>
    <font>
      <i/>
      <sz val="10"/>
      <name val="Arial"/>
      <family val="2"/>
    </font>
    <font>
      <sz val="11"/>
      <color theme="1"/>
      <name val="Arial"/>
      <family val="2"/>
    </font>
    <font>
      <b/>
      <u/>
      <sz val="11"/>
      <name val="Arial"/>
      <family val="2"/>
    </font>
    <font>
      <i/>
      <sz val="10"/>
      <color rgb="FFFF0000"/>
      <name val="Calibri"/>
      <family val="2"/>
      <scheme val="minor"/>
    </font>
    <font>
      <sz val="12"/>
      <color rgb="FFFF0000"/>
      <name val="Calibri"/>
      <family val="2"/>
      <scheme val="minor"/>
    </font>
    <font>
      <sz val="11"/>
      <color theme="1"/>
      <name val="Calibri"/>
      <family val="2"/>
    </font>
    <font>
      <sz val="11"/>
      <color rgb="FF7030A0"/>
      <name val="Calibri"/>
      <family val="2"/>
    </font>
    <font>
      <b/>
      <sz val="11"/>
      <color theme="1"/>
      <name val="Calibri"/>
      <family val="2"/>
    </font>
    <font>
      <i/>
      <sz val="12"/>
      <color rgb="FFFF0000"/>
      <name val="Calibri"/>
      <family val="2"/>
      <scheme val="minor"/>
    </font>
    <font>
      <i/>
      <sz val="10"/>
      <color rgb="FFFF0000"/>
      <name val="Arial"/>
      <family val="2"/>
    </font>
    <font>
      <i/>
      <sz val="11"/>
      <color theme="1"/>
      <name val="Calibri"/>
      <family val="2"/>
      <scheme val="minor"/>
    </font>
    <font>
      <sz val="9"/>
      <color theme="1"/>
      <name val="Arial"/>
      <family val="2"/>
    </font>
    <font>
      <sz val="10"/>
      <color theme="1"/>
      <name val="Trebuchet MS"/>
      <family val="2"/>
    </font>
    <font>
      <b/>
      <sz val="9"/>
      <color theme="1"/>
      <name val="Arial"/>
      <family val="2"/>
    </font>
    <font>
      <b/>
      <sz val="11"/>
      <color rgb="FF000000"/>
      <name val="Calibri"/>
      <family val="2"/>
      <scheme val="minor"/>
    </font>
    <font>
      <b/>
      <sz val="13"/>
      <color theme="1"/>
      <name val="Calibri"/>
      <family val="2"/>
      <scheme val="minor"/>
    </font>
    <font>
      <sz val="10"/>
      <color theme="1"/>
      <name val="Arial"/>
      <family val="2"/>
    </font>
    <font>
      <sz val="10"/>
      <color rgb="FF000000"/>
      <name val="Tahoma"/>
      <family val="2"/>
    </font>
    <font>
      <b/>
      <sz val="10"/>
      <color rgb="FF000000"/>
      <name val="Tahoma"/>
      <family val="2"/>
    </font>
    <font>
      <sz val="10"/>
      <color theme="1"/>
      <name val="Calibri"/>
      <family val="2"/>
      <charset val="136"/>
      <scheme val="minor"/>
    </font>
    <font>
      <b/>
      <sz val="8"/>
      <color rgb="FF000000"/>
      <name val="Tahoma"/>
      <family val="2"/>
    </font>
    <font>
      <sz val="8"/>
      <color rgb="FF000000"/>
      <name val="Tahoma"/>
      <family val="2"/>
    </font>
    <font>
      <b/>
      <sz val="9"/>
      <color rgb="FF000000"/>
      <name val="Tahoma"/>
      <family val="2"/>
    </font>
    <font>
      <sz val="9"/>
      <color rgb="FF000000"/>
      <name val="Tahoma"/>
      <family val="2"/>
    </font>
    <font>
      <sz val="11"/>
      <name val="Calibri"/>
      <family val="2"/>
      <scheme val="minor"/>
    </font>
    <font>
      <sz val="12"/>
      <color theme="1"/>
      <name val="Trebuchet MS"/>
      <family val="2"/>
    </font>
    <font>
      <b/>
      <i/>
      <sz val="10"/>
      <name val="Arial"/>
      <family val="2"/>
    </font>
    <font>
      <b/>
      <i/>
      <sz val="10"/>
      <color theme="1"/>
      <name val="Arial"/>
      <family val="2"/>
    </font>
    <font>
      <sz val="10"/>
      <color rgb="FFFF0000"/>
      <name val="Calibri"/>
      <family val="2"/>
      <scheme val="minor"/>
    </font>
    <font>
      <sz val="11"/>
      <color rgb="FF000000"/>
      <name val="Tahoma"/>
      <family val="2"/>
    </font>
    <font>
      <sz val="10"/>
      <color indexed="81"/>
      <name val="Calibri"/>
      <family val="2"/>
    </font>
    <font>
      <b/>
      <sz val="10"/>
      <color indexed="81"/>
      <name val="Calibri"/>
      <family val="2"/>
    </font>
    <font>
      <b/>
      <sz val="10"/>
      <color indexed="8"/>
      <name val="Roboto"/>
    </font>
    <font>
      <sz val="8"/>
      <color rgb="FF000000"/>
      <name val="Roboto"/>
    </font>
    <font>
      <sz val="10"/>
      <color theme="8"/>
      <name val="Century Gothic"/>
      <family val="2"/>
    </font>
    <font>
      <sz val="12"/>
      <color rgb="FF000000"/>
      <name val="Calibri"/>
      <family val="2"/>
      <scheme val="minor"/>
    </font>
    <font>
      <b/>
      <sz val="12"/>
      <color theme="1"/>
      <name val="Calibri"/>
      <family val="2"/>
      <scheme val="minor"/>
    </font>
    <font>
      <u/>
      <sz val="9"/>
      <color indexed="81"/>
      <name val="Tahoma"/>
      <family val="2"/>
    </font>
    <font>
      <sz val="9"/>
      <color rgb="FFFF0000"/>
      <name val="Trebuchet MS"/>
      <family val="2"/>
    </font>
    <font>
      <sz val="10"/>
      <color theme="7"/>
      <name val="Arial"/>
      <family val="2"/>
    </font>
    <font>
      <sz val="12"/>
      <color theme="7"/>
      <name val="Calibri"/>
      <family val="2"/>
      <scheme val="minor"/>
    </font>
    <font>
      <sz val="9"/>
      <name val="Arial"/>
      <family val="2"/>
    </font>
    <font>
      <b/>
      <i/>
      <sz val="10"/>
      <color rgb="FF7030A0"/>
      <name val="Arial"/>
      <family val="2"/>
    </font>
    <font>
      <sz val="10"/>
      <color rgb="FF7030A0"/>
      <name val="Arial"/>
      <family val="2"/>
    </font>
    <font>
      <b/>
      <sz val="10"/>
      <color rgb="FF7030A0"/>
      <name val="Arial"/>
      <family val="2"/>
    </font>
    <font>
      <sz val="9"/>
      <color indexed="81"/>
      <name val="Tahoma"/>
      <charset val="1"/>
    </font>
    <font>
      <b/>
      <sz val="9"/>
      <color indexed="81"/>
      <name val="Tahoma"/>
      <charset val="1"/>
    </font>
  </fonts>
  <fills count="4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bgColor indexed="64"/>
      </patternFill>
    </fill>
    <fill>
      <patternFill patternType="solid">
        <fgColor rgb="FFC0C0C0"/>
        <bgColor rgb="FF000000"/>
      </patternFill>
    </fill>
    <fill>
      <patternFill patternType="solid">
        <fgColor rgb="FFD9D9D9"/>
        <bgColor rgb="FF000000"/>
      </patternFill>
    </fill>
    <fill>
      <patternFill patternType="solid">
        <fgColor theme="0" tint="-0.249977111117893"/>
        <bgColor rgb="FF000000"/>
      </patternFill>
    </fill>
    <fill>
      <patternFill patternType="solid">
        <fgColor rgb="FFFF6600"/>
        <bgColor indexed="64"/>
      </patternFill>
    </fill>
    <fill>
      <patternFill patternType="solid">
        <fgColor rgb="FFFFFF00"/>
        <bgColor rgb="FF000000"/>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1" tint="4.9989318521683403E-2"/>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1" tint="0.14999847407452621"/>
        <bgColor indexed="64"/>
      </patternFill>
    </fill>
    <fill>
      <patternFill patternType="solid">
        <fgColor theme="0" tint="-0.14999847407452621"/>
        <bgColor indexed="0"/>
      </patternFill>
    </fill>
    <fill>
      <patternFill patternType="solid">
        <fgColor rgb="FFFFFFFF"/>
        <bgColor rgb="FF000000"/>
      </patternFill>
    </fill>
    <fill>
      <patternFill patternType="solid">
        <fgColor theme="0" tint="-0.249977111117893"/>
        <bgColor indexed="0"/>
      </patternFill>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D454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CCCC00"/>
        <bgColor indexed="64"/>
      </patternFill>
    </fill>
    <fill>
      <patternFill patternType="solid">
        <fgColor rgb="FF00B050"/>
        <bgColor indexed="64"/>
      </patternFill>
    </fill>
    <fill>
      <patternFill patternType="solid">
        <fgColor theme="1" tint="0.249977111117893"/>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0000"/>
        <bgColor indexed="64"/>
      </patternFill>
    </fill>
  </fills>
  <borders count="81">
    <border>
      <left/>
      <right/>
      <top/>
      <bottom/>
      <diagonal/>
    </border>
    <border>
      <left/>
      <right/>
      <top style="thin">
        <color auto="1"/>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
      <left/>
      <right/>
      <top style="thin">
        <color rgb="FFD3D3D3"/>
      </top>
      <bottom style="thin">
        <color rgb="FFD3D3D3"/>
      </bottom>
      <diagonal/>
    </border>
    <border>
      <left/>
      <right/>
      <top/>
      <bottom style="thin">
        <color rgb="FFD3D3D3"/>
      </bottom>
      <diagonal/>
    </border>
    <border>
      <left style="thin">
        <color indexed="15"/>
      </left>
      <right style="thin">
        <color indexed="15"/>
      </right>
      <top style="thin">
        <color indexed="15"/>
      </top>
      <bottom style="thin">
        <color indexed="15"/>
      </bottom>
      <diagonal/>
    </border>
    <border>
      <left style="thin">
        <color indexed="15"/>
      </left>
      <right/>
      <top style="thin">
        <color indexed="15"/>
      </top>
      <bottom style="thin">
        <color indexed="15"/>
      </bottom>
      <diagonal/>
    </border>
    <border>
      <left/>
      <right/>
      <top style="thin">
        <color rgb="FFD3D3D3"/>
      </top>
      <bottom/>
      <diagonal/>
    </border>
    <border>
      <left style="thin">
        <color indexed="15"/>
      </left>
      <right style="thin">
        <color indexed="15"/>
      </right>
      <top style="thin">
        <color indexed="15"/>
      </top>
      <bottom/>
      <diagonal/>
    </border>
    <border>
      <left/>
      <right/>
      <top style="thin">
        <color rgb="FFD3D3D3"/>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style="thin">
        <color indexed="15"/>
      </left>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indexed="15"/>
      </left>
      <right style="thin">
        <color indexed="15"/>
      </right>
      <top style="thin">
        <color auto="1"/>
      </top>
      <bottom style="thin">
        <color auto="1"/>
      </bottom>
      <diagonal/>
    </border>
    <border>
      <left/>
      <right/>
      <top/>
      <bottom style="thin">
        <color indexed="15"/>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double">
        <color auto="1"/>
      </bottom>
      <diagonal/>
    </border>
    <border>
      <left/>
      <right/>
      <top style="thin">
        <color indexed="15"/>
      </top>
      <bottom style="thin">
        <color indexed="15"/>
      </bottom>
      <diagonal/>
    </border>
    <border>
      <left/>
      <right/>
      <top style="thin">
        <color auto="1"/>
      </top>
      <bottom style="thin">
        <color auto="1"/>
      </bottom>
      <diagonal/>
    </border>
    <border>
      <left style="thin">
        <color indexed="15"/>
      </left>
      <right style="thin">
        <color indexed="15"/>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double">
        <color auto="1"/>
      </bottom>
      <diagonal/>
    </border>
    <border>
      <left/>
      <right/>
      <top style="thin">
        <color auto="1"/>
      </top>
      <bottom style="thin">
        <color auto="1"/>
      </bottom>
      <diagonal/>
    </border>
    <border>
      <left style="thin">
        <color indexed="15"/>
      </left>
      <right style="thin">
        <color indexed="15"/>
      </right>
      <top/>
      <bottom/>
      <diagonal/>
    </border>
    <border>
      <left/>
      <right/>
      <top style="thin">
        <color auto="1"/>
      </top>
      <bottom style="thin">
        <color auto="1"/>
      </bottom>
      <diagonal/>
    </border>
    <border>
      <left/>
      <right/>
      <top style="thin">
        <color auto="1"/>
      </top>
      <bottom style="thin">
        <color auto="1"/>
      </bottom>
      <diagonal/>
    </border>
  </borders>
  <cellStyleXfs count="5617">
    <xf numFmtId="0" fontId="0" fillId="0" borderId="0"/>
    <xf numFmtId="43"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xf numFmtId="0" fontId="15" fillId="0" borderId="0"/>
    <xf numFmtId="0" fontId="23"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2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 fillId="0" borderId="0"/>
  </cellStyleXfs>
  <cellXfs count="2005">
    <xf numFmtId="0" fontId="0" fillId="0" borderId="0" xfId="0"/>
    <xf numFmtId="0" fontId="5" fillId="0" borderId="0" xfId="0" applyFont="1"/>
    <xf numFmtId="0" fontId="6" fillId="0" borderId="1" xfId="0" applyFont="1" applyBorder="1"/>
    <xf numFmtId="0" fontId="6" fillId="0" borderId="1" xfId="0" applyFont="1" applyBorder="1" applyAlignment="1">
      <alignment horizontal="center"/>
    </xf>
    <xf numFmtId="164" fontId="7" fillId="0" borderId="0" xfId="1" applyNumberFormat="1" applyFont="1"/>
    <xf numFmtId="164" fontId="8" fillId="0" borderId="0" xfId="1" applyNumberFormat="1" applyFont="1" applyFill="1"/>
    <xf numFmtId="164" fontId="8" fillId="0" borderId="0" xfId="1" applyNumberFormat="1" applyFont="1"/>
    <xf numFmtId="0" fontId="8" fillId="0" borderId="0" xfId="0" applyFont="1"/>
    <xf numFmtId="164" fontId="5" fillId="0" borderId="0" xfId="0" applyNumberFormat="1" applyFont="1"/>
    <xf numFmtId="164" fontId="8" fillId="0" borderId="0" xfId="0" applyNumberFormat="1" applyFont="1"/>
    <xf numFmtId="0" fontId="3" fillId="0" borderId="0" xfId="0" applyFont="1"/>
    <xf numFmtId="0" fontId="5" fillId="0" borderId="0" xfId="0" applyFont="1" applyFill="1" applyBorder="1" applyAlignment="1">
      <alignment horizontal="center"/>
    </xf>
    <xf numFmtId="164" fontId="0" fillId="0" borderId="0" xfId="0" applyNumberFormat="1"/>
    <xf numFmtId="0" fontId="5" fillId="0" borderId="0" xfId="0" applyFont="1" applyAlignment="1">
      <alignment horizontal="left" indent="1"/>
    </xf>
    <xf numFmtId="0" fontId="0" fillId="0" borderId="4" xfId="0" applyBorder="1"/>
    <xf numFmtId="0" fontId="0" fillId="0" borderId="2" xfId="0" applyBorder="1"/>
    <xf numFmtId="165" fontId="0" fillId="0" borderId="0" xfId="0" applyNumberFormat="1"/>
    <xf numFmtId="0" fontId="4" fillId="0" borderId="3" xfId="0" applyFont="1" applyBorder="1"/>
    <xf numFmtId="0" fontId="17" fillId="0" borderId="0" xfId="142" applyFont="1"/>
    <xf numFmtId="0" fontId="20" fillId="0" borderId="7" xfId="142" applyFont="1" applyBorder="1" applyAlignment="1">
      <alignment horizontal="center"/>
    </xf>
    <xf numFmtId="0" fontId="21" fillId="0" borderId="8" xfId="142" applyFont="1" applyBorder="1" applyAlignment="1"/>
    <xf numFmtId="0" fontId="22" fillId="0" borderId="9" xfId="143" applyFont="1" applyBorder="1" applyAlignment="1">
      <alignment horizontal="center" wrapText="1"/>
    </xf>
    <xf numFmtId="0" fontId="22" fillId="0" borderId="9" xfId="143" applyFont="1" applyFill="1" applyBorder="1" applyAlignment="1">
      <alignment horizontal="center" wrapText="1"/>
    </xf>
    <xf numFmtId="0" fontId="20" fillId="0" borderId="0" xfId="142" applyFont="1" applyBorder="1" applyAlignment="1">
      <alignment horizontal="center"/>
    </xf>
    <xf numFmtId="49" fontId="17" fillId="0" borderId="0" xfId="142" applyNumberFormat="1" applyFont="1" applyFill="1" applyAlignment="1">
      <alignment vertical="center"/>
    </xf>
    <xf numFmtId="0" fontId="25" fillId="0" borderId="0" xfId="142" applyFont="1" applyFill="1" applyAlignment="1">
      <alignment vertical="center"/>
    </xf>
    <xf numFmtId="49" fontId="17" fillId="0" borderId="0" xfId="142" applyNumberFormat="1" applyFont="1" applyAlignment="1">
      <alignment vertical="center"/>
    </xf>
    <xf numFmtId="41" fontId="17" fillId="0" borderId="0" xfId="142" applyNumberFormat="1" applyFont="1"/>
    <xf numFmtId="0" fontId="17" fillId="0" borderId="0" xfId="142" applyFont="1" applyFill="1"/>
    <xf numFmtId="0" fontId="25" fillId="0" borderId="0" xfId="142" applyFont="1" applyFill="1" applyBorder="1" applyAlignment="1">
      <alignment vertical="center"/>
    </xf>
    <xf numFmtId="41" fontId="17" fillId="0" borderId="0" xfId="142" applyNumberFormat="1" applyFont="1" applyFill="1"/>
    <xf numFmtId="49" fontId="17" fillId="0" borderId="0" xfId="142" applyNumberFormat="1" applyFont="1" applyBorder="1" applyAlignment="1">
      <alignment vertical="center"/>
    </xf>
    <xf numFmtId="0" fontId="21" fillId="0" borderId="0" xfId="142" applyFont="1"/>
    <xf numFmtId="0" fontId="23" fillId="0" borderId="0" xfId="0" applyFont="1"/>
    <xf numFmtId="49" fontId="25" fillId="0" borderId="0" xfId="142" applyNumberFormat="1" applyFont="1" applyAlignment="1">
      <alignment vertical="center"/>
    </xf>
    <xf numFmtId="0" fontId="17" fillId="0" borderId="0" xfId="142" applyFont="1" applyFill="1" applyBorder="1" applyAlignment="1">
      <alignment vertical="center"/>
    </xf>
    <xf numFmtId="49" fontId="21" fillId="0" borderId="0" xfId="142" applyNumberFormat="1" applyFont="1" applyAlignment="1">
      <alignment vertical="center"/>
    </xf>
    <xf numFmtId="0" fontId="21" fillId="0" borderId="0" xfId="142" applyFont="1" applyFill="1"/>
    <xf numFmtId="0" fontId="25" fillId="0" borderId="0" xfId="142" applyFont="1" applyFill="1"/>
    <xf numFmtId="164" fontId="23" fillId="5" borderId="0" xfId="1" applyNumberFormat="1" applyFont="1" applyFill="1" applyBorder="1"/>
    <xf numFmtId="164" fontId="23" fillId="5" borderId="0" xfId="1" applyNumberFormat="1" applyFont="1" applyFill="1"/>
    <xf numFmtId="0" fontId="23" fillId="5" borderId="0" xfId="0" applyFont="1" applyFill="1"/>
    <xf numFmtId="0" fontId="0" fillId="0" borderId="0" xfId="0" applyFill="1"/>
    <xf numFmtId="0" fontId="0" fillId="0" borderId="0" xfId="0" applyFill="1" applyBorder="1"/>
    <xf numFmtId="164" fontId="23" fillId="0" borderId="0" xfId="1" applyNumberFormat="1" applyFont="1" applyFill="1"/>
    <xf numFmtId="0" fontId="23" fillId="0" borderId="0" xfId="0" applyFont="1" applyFill="1"/>
    <xf numFmtId="164" fontId="0" fillId="0" borderId="0" xfId="0" applyNumberFormat="1" applyFill="1"/>
    <xf numFmtId="0" fontId="31" fillId="0" borderId="0" xfId="0" applyFont="1"/>
    <xf numFmtId="0" fontId="23" fillId="0" borderId="0" xfId="0" applyFont="1" applyBorder="1"/>
    <xf numFmtId="0" fontId="23" fillId="0" borderId="0" xfId="0" applyFont="1" applyFill="1" applyBorder="1"/>
    <xf numFmtId="164" fontId="23" fillId="0" borderId="0" xfId="1" applyNumberFormat="1" applyFont="1" applyFill="1" applyBorder="1"/>
    <xf numFmtId="164" fontId="0" fillId="0" borderId="0" xfId="1" applyNumberFormat="1" applyFont="1" applyFill="1"/>
    <xf numFmtId="164" fontId="23" fillId="5" borderId="1" xfId="1" applyNumberFormat="1" applyFont="1" applyFill="1" applyBorder="1"/>
    <xf numFmtId="0" fontId="18" fillId="0" borderId="0" xfId="0" applyFont="1" applyBorder="1" applyAlignment="1">
      <alignment horizontal="left"/>
    </xf>
    <xf numFmtId="0" fontId="21" fillId="0" borderId="0" xfId="0" applyFont="1" applyFill="1"/>
    <xf numFmtId="0" fontId="0" fillId="0" borderId="10" xfId="0" applyBorder="1"/>
    <xf numFmtId="164" fontId="21" fillId="0" borderId="0" xfId="1" applyNumberFormat="1" applyFont="1" applyBorder="1" applyAlignment="1">
      <alignment horizontal="center"/>
    </xf>
    <xf numFmtId="0" fontId="0" fillId="0" borderId="0" xfId="0" applyBorder="1"/>
    <xf numFmtId="0" fontId="21" fillId="0" borderId="0" xfId="0" applyFont="1" applyFill="1" applyBorder="1"/>
    <xf numFmtId="164" fontId="21" fillId="0" borderId="11" xfId="1" applyNumberFormat="1" applyFont="1" applyBorder="1" applyAlignment="1">
      <alignment horizontal="center"/>
    </xf>
    <xf numFmtId="0" fontId="21" fillId="0" borderId="4" xfId="0" applyFont="1" applyBorder="1"/>
    <xf numFmtId="0" fontId="21" fillId="0" borderId="4" xfId="0" applyFont="1" applyBorder="1" applyAlignment="1">
      <alignment horizontal="center"/>
    </xf>
    <xf numFmtId="0" fontId="25" fillId="0" borderId="4" xfId="0" applyFont="1" applyBorder="1"/>
    <xf numFmtId="0" fontId="25" fillId="0" borderId="10" xfId="0" applyFont="1" applyBorder="1"/>
    <xf numFmtId="0" fontId="21" fillId="0" borderId="0" xfId="0" applyFont="1" applyBorder="1" applyAlignment="1">
      <alignment horizontal="center"/>
    </xf>
    <xf numFmtId="0" fontId="19" fillId="0" borderId="0" xfId="0" applyFont="1"/>
    <xf numFmtId="0" fontId="18" fillId="0" borderId="0" xfId="0" applyFont="1"/>
    <xf numFmtId="0" fontId="25" fillId="0" borderId="0" xfId="0" applyFont="1"/>
    <xf numFmtId="0" fontId="25" fillId="0" borderId="0" xfId="0" applyFont="1" applyBorder="1"/>
    <xf numFmtId="164" fontId="21" fillId="0" borderId="13" xfId="1" applyNumberFormat="1" applyFont="1" applyBorder="1" applyAlignment="1">
      <alignment horizontal="center"/>
    </xf>
    <xf numFmtId="0" fontId="21" fillId="0" borderId="2" xfId="0" applyFont="1" applyBorder="1"/>
    <xf numFmtId="0" fontId="21" fillId="0" borderId="2" xfId="0" applyFont="1" applyBorder="1" applyAlignment="1">
      <alignment horizontal="center"/>
    </xf>
    <xf numFmtId="0" fontId="21" fillId="0" borderId="10" xfId="0" applyFont="1" applyBorder="1" applyAlignment="1">
      <alignment horizontal="center"/>
    </xf>
    <xf numFmtId="0" fontId="25" fillId="0" borderId="0" xfId="0" applyFont="1" applyFill="1" applyBorder="1"/>
    <xf numFmtId="0" fontId="25" fillId="0" borderId="11" xfId="0" applyFont="1" applyBorder="1" applyAlignment="1">
      <alignment horizontal="right"/>
    </xf>
    <xf numFmtId="0" fontId="25" fillId="0" borderId="0" xfId="0" applyFont="1" applyBorder="1" applyAlignment="1">
      <alignment horizontal="right"/>
    </xf>
    <xf numFmtId="0" fontId="0" fillId="0" borderId="16" xfId="0" applyBorder="1"/>
    <xf numFmtId="0" fontId="35" fillId="0" borderId="0" xfId="0" applyFont="1"/>
    <xf numFmtId="164" fontId="35" fillId="0" borderId="0" xfId="1" applyNumberFormat="1" applyFont="1" applyFill="1" applyBorder="1"/>
    <xf numFmtId="164" fontId="35" fillId="0" borderId="16" xfId="1" applyNumberFormat="1" applyFont="1" applyFill="1" applyBorder="1"/>
    <xf numFmtId="164" fontId="35" fillId="0" borderId="0" xfId="1" applyNumberFormat="1" applyFont="1" applyBorder="1"/>
    <xf numFmtId="164" fontId="35" fillId="0" borderId="10" xfId="1" applyNumberFormat="1" applyFont="1" applyFill="1" applyBorder="1"/>
    <xf numFmtId="0" fontId="36" fillId="0" borderId="0" xfId="0" applyFont="1" applyBorder="1"/>
    <xf numFmtId="164" fontId="35" fillId="0" borderId="0" xfId="0" applyNumberFormat="1" applyFont="1" applyBorder="1"/>
    <xf numFmtId="164" fontId="35" fillId="0" borderId="17" xfId="1" applyNumberFormat="1" applyFont="1" applyBorder="1"/>
    <xf numFmtId="164" fontId="35" fillId="0" borderId="17" xfId="1" applyNumberFormat="1" applyFont="1" applyFill="1" applyBorder="1"/>
    <xf numFmtId="164" fontId="35" fillId="0" borderId="13" xfId="1" applyNumberFormat="1" applyFont="1" applyFill="1" applyBorder="1"/>
    <xf numFmtId="164" fontId="35" fillId="0" borderId="2" xfId="1" applyNumberFormat="1" applyFont="1" applyBorder="1"/>
    <xf numFmtId="164" fontId="18" fillId="0" borderId="0" xfId="1" applyNumberFormat="1" applyFont="1" applyFill="1" applyBorder="1"/>
    <xf numFmtId="164" fontId="18" fillId="0" borderId="11" xfId="1" applyNumberFormat="1" applyFont="1" applyFill="1" applyBorder="1"/>
    <xf numFmtId="164" fontId="18" fillId="0" borderId="10" xfId="1" applyNumberFormat="1" applyFont="1" applyFill="1" applyBorder="1"/>
    <xf numFmtId="164" fontId="18" fillId="0" borderId="16" xfId="1" applyNumberFormat="1" applyFont="1" applyFill="1" applyBorder="1"/>
    <xf numFmtId="41" fontId="35" fillId="0" borderId="17" xfId="1" applyNumberFormat="1" applyFont="1" applyBorder="1"/>
    <xf numFmtId="0" fontId="35" fillId="0" borderId="0" xfId="0" applyFont="1" applyBorder="1"/>
    <xf numFmtId="164" fontId="38" fillId="0" borderId="0" xfId="1" applyNumberFormat="1" applyFont="1" applyFill="1" applyBorder="1"/>
    <xf numFmtId="0" fontId="35" fillId="0" borderId="0" xfId="0" applyFont="1" applyFill="1" applyBorder="1"/>
    <xf numFmtId="164" fontId="35" fillId="0" borderId="17" xfId="0" applyNumberFormat="1" applyFont="1" applyFill="1" applyBorder="1"/>
    <xf numFmtId="164" fontId="35" fillId="0" borderId="0" xfId="0" applyNumberFormat="1" applyFont="1" applyFill="1" applyBorder="1"/>
    <xf numFmtId="0" fontId="37" fillId="0" borderId="0" xfId="0" applyFont="1" applyBorder="1"/>
    <xf numFmtId="165" fontId="35" fillId="0" borderId="0" xfId="2" applyNumberFormat="1" applyFont="1" applyFill="1" applyBorder="1"/>
    <xf numFmtId="0" fontId="18" fillId="0" borderId="0" xfId="0" applyFont="1" applyBorder="1"/>
    <xf numFmtId="164" fontId="18" fillId="0" borderId="16" xfId="1" applyNumberFormat="1" applyFont="1" applyBorder="1"/>
    <xf numFmtId="164" fontId="18" fillId="0" borderId="17" xfId="1" applyNumberFormat="1" applyFont="1" applyBorder="1"/>
    <xf numFmtId="37" fontId="18" fillId="0" borderId="10" xfId="1" applyNumberFormat="1" applyFont="1" applyBorder="1"/>
    <xf numFmtId="37" fontId="18" fillId="0" borderId="0" xfId="1" applyNumberFormat="1" applyFont="1" applyFill="1" applyBorder="1"/>
    <xf numFmtId="0" fontId="18" fillId="6" borderId="7" xfId="0" applyFont="1" applyFill="1" applyBorder="1"/>
    <xf numFmtId="0" fontId="18" fillId="6" borderId="3" xfId="0" applyFont="1" applyFill="1" applyBorder="1"/>
    <xf numFmtId="0" fontId="35" fillId="6" borderId="3" xfId="0" applyFont="1" applyFill="1" applyBorder="1"/>
    <xf numFmtId="164" fontId="18" fillId="6" borderId="7" xfId="0" applyNumberFormat="1" applyFont="1" applyFill="1" applyBorder="1"/>
    <xf numFmtId="0" fontId="39" fillId="0" borderId="0" xfId="0" applyFont="1" applyFill="1" applyBorder="1"/>
    <xf numFmtId="164" fontId="18" fillId="6" borderId="3" xfId="0" applyNumberFormat="1" applyFont="1" applyFill="1" applyBorder="1"/>
    <xf numFmtId="164" fontId="18" fillId="0" borderId="10" xfId="0" applyNumberFormat="1" applyFont="1" applyFill="1" applyBorder="1"/>
    <xf numFmtId="164" fontId="18" fillId="0" borderId="0" xfId="0" applyNumberFormat="1" applyFont="1" applyFill="1" applyBorder="1"/>
    <xf numFmtId="0" fontId="18" fillId="0" borderId="0" xfId="0" applyFont="1" applyFill="1" applyBorder="1"/>
    <xf numFmtId="10" fontId="35" fillId="0" borderId="0" xfId="1" applyNumberFormat="1" applyFont="1" applyFill="1" applyBorder="1"/>
    <xf numFmtId="164" fontId="18" fillId="0" borderId="16" xfId="0" applyNumberFormat="1" applyFont="1" applyFill="1" applyBorder="1"/>
    <xf numFmtId="164" fontId="18" fillId="0" borderId="17" xfId="0" applyNumberFormat="1" applyFont="1" applyFill="1" applyBorder="1"/>
    <xf numFmtId="164" fontId="35" fillId="0" borderId="16" xfId="1" applyNumberFormat="1" applyFont="1" applyBorder="1"/>
    <xf numFmtId="0" fontId="36" fillId="0" borderId="0" xfId="0" applyFont="1" applyFill="1" applyBorder="1"/>
    <xf numFmtId="164" fontId="37" fillId="0" borderId="0" xfId="0" applyNumberFormat="1" applyFont="1" applyBorder="1"/>
    <xf numFmtId="0" fontId="35" fillId="6" borderId="7" xfId="0" applyFont="1" applyFill="1" applyBorder="1"/>
    <xf numFmtId="164" fontId="35" fillId="6" borderId="3" xfId="1" applyNumberFormat="1" applyFont="1" applyFill="1" applyBorder="1"/>
    <xf numFmtId="164" fontId="18" fillId="6" borderId="7" xfId="1" applyNumberFormat="1" applyFont="1" applyFill="1" applyBorder="1"/>
    <xf numFmtId="164" fontId="18" fillId="6" borderId="8" xfId="1" applyNumberFormat="1" applyFont="1" applyFill="1" applyBorder="1"/>
    <xf numFmtId="41" fontId="18" fillId="6" borderId="8" xfId="1" applyNumberFormat="1" applyFont="1" applyFill="1" applyBorder="1"/>
    <xf numFmtId="164" fontId="37" fillId="0" borderId="0" xfId="1" applyNumberFormat="1" applyFont="1" applyBorder="1"/>
    <xf numFmtId="164" fontId="35" fillId="0" borderId="4" xfId="1" applyNumberFormat="1" applyFont="1" applyFill="1" applyBorder="1"/>
    <xf numFmtId="41" fontId="18" fillId="0" borderId="12" xfId="1" applyNumberFormat="1" applyFont="1" applyFill="1" applyBorder="1"/>
    <xf numFmtId="164" fontId="18" fillId="0" borderId="15" xfId="1" applyNumberFormat="1" applyFont="1" applyFill="1" applyBorder="1"/>
    <xf numFmtId="164" fontId="18" fillId="6" borderId="13" xfId="1" applyNumberFormat="1" applyFont="1" applyFill="1" applyBorder="1"/>
    <xf numFmtId="164" fontId="18" fillId="6" borderId="3" xfId="1" applyNumberFormat="1" applyFont="1" applyFill="1" applyBorder="1"/>
    <xf numFmtId="164" fontId="18" fillId="6" borderId="2" xfId="1" applyNumberFormat="1" applyFont="1" applyFill="1" applyBorder="1"/>
    <xf numFmtId="41" fontId="18" fillId="0" borderId="16" xfId="1" applyNumberFormat="1" applyFont="1" applyFill="1" applyBorder="1" applyAlignment="1">
      <alignment horizontal="left"/>
    </xf>
    <xf numFmtId="37" fontId="18" fillId="0" borderId="17" xfId="1" applyNumberFormat="1" applyFont="1" applyFill="1" applyBorder="1"/>
    <xf numFmtId="164" fontId="35" fillId="0" borderId="16" xfId="0" applyNumberFormat="1" applyFont="1" applyBorder="1"/>
    <xf numFmtId="0" fontId="35" fillId="0" borderId="16" xfId="0" applyFont="1" applyBorder="1"/>
    <xf numFmtId="0" fontId="35" fillId="0" borderId="10" xfId="0" applyFont="1" applyFill="1" applyBorder="1"/>
    <xf numFmtId="5" fontId="18" fillId="0" borderId="10" xfId="1" applyNumberFormat="1" applyFont="1" applyFill="1" applyBorder="1"/>
    <xf numFmtId="5" fontId="18" fillId="0" borderId="0" xfId="1" applyNumberFormat="1" applyFont="1" applyFill="1" applyBorder="1"/>
    <xf numFmtId="164" fontId="25" fillId="0" borderId="0" xfId="1" applyNumberFormat="1" applyFont="1" applyFill="1" applyBorder="1"/>
    <xf numFmtId="0" fontId="37" fillId="0" borderId="0" xfId="0" applyFont="1"/>
    <xf numFmtId="5" fontId="0" fillId="0" borderId="0" xfId="0" applyNumberFormat="1" applyBorder="1"/>
    <xf numFmtId="0" fontId="17" fillId="0" borderId="0" xfId="142" applyFont="1" applyFill="1" applyAlignment="1">
      <alignment horizontal="left" indent="1"/>
    </xf>
    <xf numFmtId="164" fontId="41" fillId="0" borderId="0" xfId="0" applyNumberFormat="1" applyFont="1"/>
    <xf numFmtId="0" fontId="23" fillId="13" borderId="0" xfId="0" applyFont="1" applyFill="1"/>
    <xf numFmtId="0" fontId="6" fillId="0" borderId="0" xfId="0" applyFont="1" applyBorder="1" applyAlignment="1">
      <alignment horizontal="center"/>
    </xf>
    <xf numFmtId="0" fontId="0" fillId="0" borderId="1" xfId="0" applyBorder="1"/>
    <xf numFmtId="164" fontId="42" fillId="0" borderId="0" xfId="1" applyNumberFormat="1" applyFont="1"/>
    <xf numFmtId="0" fontId="42" fillId="0" borderId="0" xfId="0" applyFont="1"/>
    <xf numFmtId="0" fontId="42" fillId="0" borderId="0" xfId="0" applyFont="1" applyFill="1"/>
    <xf numFmtId="0" fontId="42" fillId="7" borderId="0" xfId="0" applyFont="1" applyFill="1"/>
    <xf numFmtId="164" fontId="41" fillId="7" borderId="0" xfId="0" applyNumberFormat="1" applyFont="1" applyFill="1"/>
    <xf numFmtId="0" fontId="42" fillId="0" borderId="1" xfId="0" applyFont="1" applyBorder="1"/>
    <xf numFmtId="164" fontId="42" fillId="0" borderId="1" xfId="0" applyNumberFormat="1" applyFont="1" applyBorder="1"/>
    <xf numFmtId="0" fontId="25" fillId="0" borderId="0" xfId="142" applyFont="1" applyFill="1" applyAlignment="1">
      <alignment horizontal="left" indent="2"/>
    </xf>
    <xf numFmtId="0" fontId="25" fillId="7" borderId="0" xfId="142" applyFont="1" applyFill="1"/>
    <xf numFmtId="0" fontId="25" fillId="0" borderId="0" xfId="0" applyFont="1" applyAlignment="1">
      <alignment horizontal="left" indent="2"/>
    </xf>
    <xf numFmtId="167" fontId="42" fillId="0" borderId="0" xfId="0" applyNumberFormat="1" applyFont="1"/>
    <xf numFmtId="0" fontId="43" fillId="0" borderId="0" xfId="0" applyFont="1"/>
    <xf numFmtId="0" fontId="45" fillId="0" borderId="0" xfId="0" applyFont="1"/>
    <xf numFmtId="41" fontId="47" fillId="5" borderId="0" xfId="0" applyNumberFormat="1" applyFont="1" applyFill="1"/>
    <xf numFmtId="0" fontId="47" fillId="0" borderId="0" xfId="0" applyFont="1"/>
    <xf numFmtId="0" fontId="47" fillId="0" borderId="0" xfId="0" applyFont="1" applyFill="1"/>
    <xf numFmtId="164" fontId="47" fillId="0" borderId="0" xfId="0" applyNumberFormat="1" applyFont="1"/>
    <xf numFmtId="164" fontId="23" fillId="5" borderId="0" xfId="144" applyNumberFormat="1" applyFont="1" applyFill="1" applyBorder="1"/>
    <xf numFmtId="164" fontId="47" fillId="5" borderId="0" xfId="1" applyNumberFormat="1" applyFont="1" applyFill="1"/>
    <xf numFmtId="164" fontId="23" fillId="0" borderId="0" xfId="144" applyNumberFormat="1" applyFont="1" applyFill="1" applyBorder="1"/>
    <xf numFmtId="164" fontId="47" fillId="0" borderId="0" xfId="1" applyNumberFormat="1" applyFont="1" applyFill="1"/>
    <xf numFmtId="164" fontId="23" fillId="0" borderId="3" xfId="144" applyNumberFormat="1" applyFont="1" applyFill="1" applyBorder="1"/>
    <xf numFmtId="0" fontId="30" fillId="0" borderId="0" xfId="0" applyFont="1" applyAlignment="1"/>
    <xf numFmtId="37" fontId="24" fillId="0" borderId="0" xfId="0" applyNumberFormat="1" applyFont="1" applyBorder="1" applyAlignment="1">
      <alignment vertical="center"/>
    </xf>
    <xf numFmtId="0" fontId="47" fillId="5" borderId="0" xfId="0" applyFont="1" applyFill="1"/>
    <xf numFmtId="0" fontId="47" fillId="0" borderId="0" xfId="0" applyFont="1" applyFill="1" applyBorder="1"/>
    <xf numFmtId="0" fontId="47" fillId="5" borderId="0" xfId="0" applyFont="1" applyFill="1" applyBorder="1"/>
    <xf numFmtId="41" fontId="0" fillId="0" borderId="0" xfId="0" applyNumberFormat="1"/>
    <xf numFmtId="164" fontId="47" fillId="0" borderId="0" xfId="0" applyNumberFormat="1" applyFont="1" applyFill="1" applyBorder="1"/>
    <xf numFmtId="41" fontId="23" fillId="5" borderId="0" xfId="1" applyNumberFormat="1" applyFont="1" applyFill="1"/>
    <xf numFmtId="41" fontId="23" fillId="0" borderId="0" xfId="1" applyNumberFormat="1" applyFont="1" applyFill="1"/>
    <xf numFmtId="41" fontId="23" fillId="0" borderId="0" xfId="1" applyNumberFormat="1" applyFont="1" applyFill="1" applyBorder="1"/>
    <xf numFmtId="41" fontId="47" fillId="0" borderId="0" xfId="0" applyNumberFormat="1" applyFont="1"/>
    <xf numFmtId="0" fontId="24" fillId="0" borderId="0" xfId="0" applyFont="1" applyAlignment="1">
      <alignment wrapText="1"/>
    </xf>
    <xf numFmtId="0" fontId="24" fillId="0" borderId="2" xfId="0" applyFont="1" applyBorder="1" applyAlignment="1">
      <alignment horizontal="center" wrapText="1"/>
    </xf>
    <xf numFmtId="0" fontId="0" fillId="0" borderId="0" xfId="0" applyAlignment="1">
      <alignment wrapText="1"/>
    </xf>
    <xf numFmtId="0" fontId="47" fillId="0" borderId="0" xfId="0" applyFont="1" applyAlignment="1">
      <alignment wrapText="1"/>
    </xf>
    <xf numFmtId="9" fontId="30" fillId="0" borderId="0" xfId="0" applyNumberFormat="1" applyFont="1" applyAlignment="1"/>
    <xf numFmtId="166" fontId="0" fillId="0" borderId="0" xfId="0" applyNumberFormat="1"/>
    <xf numFmtId="0" fontId="48" fillId="0" borderId="0" xfId="0" applyFont="1"/>
    <xf numFmtId="0" fontId="49" fillId="0" borderId="0" xfId="0" applyFont="1"/>
    <xf numFmtId="164" fontId="0" fillId="0" borderId="0" xfId="1" applyNumberFormat="1" applyFont="1"/>
    <xf numFmtId="37" fontId="24" fillId="3" borderId="0" xfId="0" applyNumberFormat="1" applyFont="1" applyFill="1" applyBorder="1" applyAlignment="1">
      <alignment vertical="center"/>
    </xf>
    <xf numFmtId="37" fontId="24" fillId="0" borderId="0" xfId="0" applyNumberFormat="1" applyFont="1" applyFill="1" applyBorder="1" applyAlignment="1">
      <alignment horizontal="center" vertical="center"/>
    </xf>
    <xf numFmtId="0" fontId="5" fillId="0" borderId="3" xfId="0" applyFont="1" applyBorder="1"/>
    <xf numFmtId="0" fontId="50" fillId="0" borderId="0" xfId="0" applyFont="1"/>
    <xf numFmtId="0" fontId="51" fillId="0" borderId="0" xfId="0" applyFont="1"/>
    <xf numFmtId="164" fontId="23" fillId="0" borderId="1" xfId="1" applyNumberFormat="1" applyFont="1" applyFill="1" applyBorder="1"/>
    <xf numFmtId="37" fontId="24" fillId="0" borderId="0" xfId="0" applyNumberFormat="1" applyFont="1" applyFill="1" applyBorder="1" applyAlignment="1">
      <alignment vertical="center"/>
    </xf>
    <xf numFmtId="0" fontId="54" fillId="21" borderId="19" xfId="0" applyFont="1" applyFill="1" applyBorder="1" applyAlignment="1"/>
    <xf numFmtId="0" fontId="54" fillId="21" borderId="25" xfId="0" applyFont="1" applyFill="1" applyBorder="1" applyAlignment="1"/>
    <xf numFmtId="0" fontId="54" fillId="21" borderId="21" xfId="0" applyFont="1" applyFill="1" applyBorder="1" applyAlignment="1"/>
    <xf numFmtId="0" fontId="54" fillId="21" borderId="28" xfId="0" applyFont="1" applyFill="1" applyBorder="1" applyAlignment="1"/>
    <xf numFmtId="164" fontId="54" fillId="21" borderId="22" xfId="0" applyNumberFormat="1" applyFont="1" applyFill="1" applyBorder="1" applyAlignment="1"/>
    <xf numFmtId="164" fontId="55" fillId="21" borderId="20" xfId="1" applyNumberFormat="1" applyFont="1" applyFill="1" applyBorder="1"/>
    <xf numFmtId="2" fontId="0" fillId="0" borderId="0" xfId="0" applyNumberFormat="1"/>
    <xf numFmtId="0" fontId="56" fillId="0" borderId="0" xfId="0" applyFont="1" applyBorder="1" applyAlignment="1">
      <alignment vertical="center" wrapText="1"/>
    </xf>
    <xf numFmtId="3" fontId="57" fillId="0" borderId="0" xfId="0" applyNumberFormat="1" applyFont="1" applyBorder="1" applyAlignment="1">
      <alignment vertical="center" wrapText="1"/>
    </xf>
    <xf numFmtId="0" fontId="0" fillId="0" borderId="0" xfId="0" applyBorder="1" applyAlignment="1">
      <alignment vertical="center" wrapText="1"/>
    </xf>
    <xf numFmtId="3" fontId="58" fillId="0" borderId="0" xfId="0" applyNumberFormat="1" applyFont="1" applyAlignment="1">
      <alignment vertical="center" wrapText="1"/>
    </xf>
    <xf numFmtId="3" fontId="59" fillId="0" borderId="0" xfId="0" applyNumberFormat="1" applyFont="1" applyAlignment="1">
      <alignment vertical="center" wrapText="1"/>
    </xf>
    <xf numFmtId="0" fontId="3" fillId="0" borderId="0" xfId="0" applyFont="1" applyBorder="1"/>
    <xf numFmtId="0" fontId="3" fillId="0" borderId="3" xfId="0" applyFont="1" applyBorder="1"/>
    <xf numFmtId="0" fontId="0" fillId="10" borderId="0" xfId="0" applyFill="1"/>
    <xf numFmtId="0" fontId="0" fillId="3" borderId="0" xfId="0" applyFill="1"/>
    <xf numFmtId="3" fontId="0" fillId="3" borderId="0" xfId="0" applyNumberFormat="1" applyFill="1"/>
    <xf numFmtId="166" fontId="0" fillId="0" borderId="0" xfId="87" applyNumberFormat="1" applyFont="1"/>
    <xf numFmtId="0" fontId="0" fillId="0" borderId="3" xfId="0" applyBorder="1"/>
    <xf numFmtId="0" fontId="49" fillId="13" borderId="0" xfId="0" applyFont="1" applyFill="1"/>
    <xf numFmtId="164" fontId="49" fillId="0" borderId="0" xfId="1" applyNumberFormat="1" applyFont="1"/>
    <xf numFmtId="164" fontId="49" fillId="13" borderId="0" xfId="1" applyNumberFormat="1" applyFont="1" applyFill="1"/>
    <xf numFmtId="164" fontId="49" fillId="7" borderId="0" xfId="1" applyNumberFormat="1" applyFont="1" applyFill="1"/>
    <xf numFmtId="0" fontId="0" fillId="7" borderId="0" xfId="0" applyFill="1"/>
    <xf numFmtId="164" fontId="47" fillId="7" borderId="0" xfId="1" applyNumberFormat="1" applyFont="1" applyFill="1"/>
    <xf numFmtId="164" fontId="23" fillId="7" borderId="0" xfId="1" applyNumberFormat="1" applyFont="1" applyFill="1"/>
    <xf numFmtId="164" fontId="23" fillId="7" borderId="0" xfId="1" applyNumberFormat="1" applyFont="1" applyFill="1" applyBorder="1"/>
    <xf numFmtId="0" fontId="0" fillId="0" borderId="0" xfId="0" applyAlignment="1">
      <alignment horizontal="center"/>
    </xf>
    <xf numFmtId="0" fontId="24" fillId="0" borderId="2" xfId="0" applyFont="1" applyBorder="1" applyAlignment="1">
      <alignment horizontal="center" vertical="center" wrapText="1"/>
    </xf>
    <xf numFmtId="0" fontId="47" fillId="7" borderId="0" xfId="0" applyFont="1" applyFill="1"/>
    <xf numFmtId="0" fontId="60" fillId="0" borderId="4" xfId="0" applyFont="1" applyBorder="1"/>
    <xf numFmtId="0" fontId="24" fillId="0" borderId="3" xfId="0" applyFont="1" applyBorder="1" applyAlignment="1">
      <alignment horizontal="center" vertical="center" wrapText="1"/>
    </xf>
    <xf numFmtId="164" fontId="44" fillId="21" borderId="0" xfId="0" applyNumberFormat="1" applyFont="1" applyFill="1"/>
    <xf numFmtId="0" fontId="24" fillId="18"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0" xfId="0" applyFont="1" applyBorder="1" applyAlignment="1">
      <alignment horizontal="center" vertical="center" wrapText="1"/>
    </xf>
    <xf numFmtId="0" fontId="5" fillId="0" borderId="9" xfId="0" applyFont="1" applyBorder="1"/>
    <xf numFmtId="0" fontId="24" fillId="0" borderId="3" xfId="0" applyFont="1" applyBorder="1" applyAlignment="1">
      <alignment horizontal="center" vertical="center" wrapText="1"/>
    </xf>
    <xf numFmtId="41" fontId="47" fillId="7" borderId="0" xfId="0" applyNumberFormat="1" applyFont="1" applyFill="1"/>
    <xf numFmtId="0" fontId="0" fillId="11" borderId="0" xfId="0" applyFill="1"/>
    <xf numFmtId="164" fontId="0" fillId="11" borderId="0" xfId="1" applyNumberFormat="1" applyFont="1" applyFill="1"/>
    <xf numFmtId="0" fontId="62" fillId="0" borderId="0" xfId="0" applyFont="1"/>
    <xf numFmtId="0" fontId="0" fillId="0" borderId="0" xfId="0" applyAlignment="1">
      <alignment horizontal="center"/>
    </xf>
    <xf numFmtId="0" fontId="0" fillId="0" borderId="0" xfId="0" applyAlignment="1">
      <alignment horizontal="center" vertical="center"/>
    </xf>
    <xf numFmtId="15" fontId="0" fillId="0" borderId="0" xfId="0" applyNumberFormat="1" applyAlignment="1">
      <alignment horizontal="center"/>
    </xf>
    <xf numFmtId="0" fontId="3" fillId="0" borderId="9" xfId="0" applyFont="1" applyBorder="1"/>
    <xf numFmtId="0" fontId="3" fillId="0" borderId="9" xfId="0" applyFont="1" applyBorder="1" applyAlignment="1">
      <alignment horizontal="center"/>
    </xf>
    <xf numFmtId="0" fontId="3" fillId="0" borderId="9" xfId="0" applyFont="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horizontal="center"/>
    </xf>
    <xf numFmtId="0" fontId="5" fillId="0" borderId="18" xfId="0" applyFont="1" applyBorder="1" applyAlignment="1">
      <alignment vertical="center" wrapText="1"/>
    </xf>
    <xf numFmtId="0" fontId="5" fillId="0" borderId="9" xfId="0" applyFont="1" applyBorder="1" applyAlignment="1">
      <alignment horizontal="center" wrapText="1"/>
    </xf>
    <xf numFmtId="10" fontId="5" fillId="0" borderId="9" xfId="0" applyNumberFormat="1"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xf numFmtId="0" fontId="5" fillId="0" borderId="3" xfId="0" applyFont="1" applyBorder="1" applyAlignment="1">
      <alignment horizontal="center"/>
    </xf>
    <xf numFmtId="10" fontId="5" fillId="0" borderId="8" xfId="0" applyNumberFormat="1"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wrapText="1"/>
    </xf>
    <xf numFmtId="0" fontId="40" fillId="0" borderId="9" xfId="0" applyFont="1" applyBorder="1"/>
    <xf numFmtId="0" fontId="5" fillId="0" borderId="3" xfId="0" applyFont="1" applyBorder="1" applyAlignment="1">
      <alignment horizontal="center" vertical="center"/>
    </xf>
    <xf numFmtId="10" fontId="5" fillId="0" borderId="8" xfId="0" applyNumberFormat="1" applyFont="1" applyBorder="1" applyAlignment="1">
      <alignment horizontal="center" vertical="center" wrapText="1"/>
    </xf>
    <xf numFmtId="10" fontId="5" fillId="0" borderId="9" xfId="0" applyNumberFormat="1"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5" fillId="0" borderId="9" xfId="0" applyFont="1" applyFill="1" applyBorder="1" applyAlignment="1">
      <alignment horizontal="center"/>
    </xf>
    <xf numFmtId="10" fontId="5" fillId="0" borderId="0" xfId="0" applyNumberFormat="1" applyFont="1" applyAlignment="1">
      <alignment horizontal="center" vertical="center"/>
    </xf>
    <xf numFmtId="0" fontId="0" fillId="0" borderId="19" xfId="0" applyBorder="1"/>
    <xf numFmtId="10" fontId="0" fillId="0" borderId="20" xfId="0" applyNumberFormat="1" applyBorder="1"/>
    <xf numFmtId="0" fontId="0" fillId="0" borderId="26" xfId="0" applyBorder="1"/>
    <xf numFmtId="10" fontId="0" fillId="0" borderId="27" xfId="0" applyNumberFormat="1" applyBorder="1"/>
    <xf numFmtId="0" fontId="3" fillId="19" borderId="21" xfId="0" applyFont="1" applyFill="1" applyBorder="1"/>
    <xf numFmtId="10" fontId="3" fillId="19" borderId="22" xfId="0" applyNumberFormat="1" applyFont="1" applyFill="1" applyBorder="1"/>
    <xf numFmtId="164" fontId="5" fillId="0" borderId="0" xfId="0" applyNumberFormat="1" applyFont="1" applyFill="1"/>
    <xf numFmtId="0" fontId="50" fillId="0" borderId="0" xfId="0" applyFont="1" applyProtection="1">
      <protection locked="0"/>
    </xf>
    <xf numFmtId="0" fontId="0" fillId="0" borderId="0" xfId="0" applyProtection="1">
      <protection locked="0"/>
    </xf>
    <xf numFmtId="0" fontId="4" fillId="10" borderId="0" xfId="0" applyFont="1" applyFill="1" applyAlignment="1" applyProtection="1">
      <alignment horizontal="center" vertical="center"/>
      <protection locked="0"/>
    </xf>
    <xf numFmtId="166" fontId="4" fillId="10" borderId="0" xfId="0" applyNumberFormat="1" applyFont="1" applyFill="1" applyAlignment="1" applyProtection="1">
      <alignment vertical="center"/>
      <protection locked="0"/>
    </xf>
    <xf numFmtId="166" fontId="4" fillId="20" borderId="0" xfId="0" applyNumberFormat="1" applyFont="1" applyFill="1" applyAlignment="1" applyProtection="1">
      <alignment vertical="center"/>
      <protection locked="0"/>
    </xf>
    <xf numFmtId="0" fontId="5" fillId="0" borderId="0" xfId="0" applyFont="1" applyProtection="1">
      <protection locked="0"/>
    </xf>
    <xf numFmtId="0" fontId="5" fillId="0" borderId="0" xfId="0" applyFont="1" applyBorder="1" applyProtection="1">
      <protection locked="0"/>
    </xf>
    <xf numFmtId="9" fontId="0" fillId="0" borderId="0" xfId="0" applyNumberFormat="1" applyProtection="1">
      <protection locked="0"/>
    </xf>
    <xf numFmtId="9" fontId="0" fillId="0" borderId="0" xfId="2" applyFont="1" applyProtection="1">
      <protection locked="0"/>
    </xf>
    <xf numFmtId="0" fontId="4" fillId="0" borderId="21" xfId="0" applyFont="1" applyBorder="1" applyAlignment="1" applyProtection="1">
      <alignment vertical="center"/>
      <protection locked="0"/>
    </xf>
    <xf numFmtId="0" fontId="5" fillId="0" borderId="28" xfId="0" applyFont="1" applyBorder="1" applyAlignment="1" applyProtection="1">
      <alignment horizontal="left" vertical="center"/>
      <protection locked="0"/>
    </xf>
    <xf numFmtId="44" fontId="0" fillId="0" borderId="0" xfId="0" applyNumberFormat="1" applyProtection="1">
      <protection locked="0"/>
    </xf>
    <xf numFmtId="0" fontId="3" fillId="9" borderId="0" xfId="0" applyFont="1" applyFill="1" applyProtection="1">
      <protection locked="0"/>
    </xf>
    <xf numFmtId="165" fontId="5" fillId="0" borderId="0" xfId="0" applyNumberFormat="1" applyFont="1" applyProtection="1">
      <protection locked="0"/>
    </xf>
    <xf numFmtId="169" fontId="4" fillId="0" borderId="0" xfId="87" applyNumberFormat="1" applyFont="1" applyProtection="1">
      <protection locked="0"/>
    </xf>
    <xf numFmtId="165" fontId="4" fillId="0" borderId="0" xfId="2" applyNumberFormat="1" applyFont="1" applyProtection="1">
      <protection locked="0"/>
    </xf>
    <xf numFmtId="44" fontId="4" fillId="0" borderId="0" xfId="87" applyNumberFormat="1" applyFont="1" applyProtection="1">
      <protection locked="0"/>
    </xf>
    <xf numFmtId="44" fontId="5" fillId="0" borderId="0" xfId="87" applyNumberFormat="1" applyFont="1" applyProtection="1">
      <protection locked="0"/>
    </xf>
    <xf numFmtId="165" fontId="5" fillId="0" borderId="0" xfId="2" applyNumberFormat="1" applyFont="1" applyProtection="1">
      <protection locked="0"/>
    </xf>
    <xf numFmtId="0" fontId="0" fillId="11" borderId="0" xfId="0" applyFill="1" applyProtection="1">
      <protection locked="0"/>
    </xf>
    <xf numFmtId="166" fontId="0" fillId="11" borderId="0" xfId="87" applyNumberFormat="1" applyFont="1" applyFill="1" applyProtection="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center" vertical="center" wrapText="1"/>
      <protection locked="0"/>
    </xf>
    <xf numFmtId="0" fontId="10" fillId="0" borderId="0" xfId="0" applyFont="1" applyAlignment="1" applyProtection="1">
      <alignment wrapText="1"/>
      <protection locked="0"/>
    </xf>
    <xf numFmtId="164" fontId="40" fillId="0" borderId="0" xfId="1" applyNumberFormat="1" applyFont="1" applyFill="1" applyProtection="1">
      <protection locked="0"/>
    </xf>
    <xf numFmtId="164" fontId="40" fillId="7" borderId="0" xfId="1" applyNumberFormat="1" applyFont="1" applyFill="1" applyProtection="1">
      <protection locked="0"/>
    </xf>
    <xf numFmtId="164" fontId="40" fillId="0" borderId="5" xfId="1" applyNumberFormat="1" applyFont="1" applyFill="1" applyBorder="1" applyProtection="1">
      <protection locked="0"/>
    </xf>
    <xf numFmtId="0" fontId="53" fillId="0" borderId="0" xfId="0" applyFont="1" applyFill="1" applyAlignment="1" applyProtection="1">
      <alignment horizontal="left" vertical="center"/>
      <protection locked="0"/>
    </xf>
    <xf numFmtId="166" fontId="5" fillId="0" borderId="0" xfId="0" applyNumberFormat="1" applyFont="1" applyProtection="1">
      <protection locked="0"/>
    </xf>
    <xf numFmtId="0" fontId="47" fillId="0" borderId="19" xfId="0" applyFont="1" applyBorder="1"/>
    <xf numFmtId="0" fontId="47" fillId="0" borderId="26" xfId="0" applyFont="1" applyBorder="1"/>
    <xf numFmtId="164" fontId="47" fillId="0" borderId="0" xfId="0" applyNumberFormat="1" applyFont="1" applyBorder="1"/>
    <xf numFmtId="164" fontId="47" fillId="0" borderId="27" xfId="0" applyNumberFormat="1" applyFont="1" applyBorder="1" applyAlignment="1">
      <alignment horizontal="center"/>
    </xf>
    <xf numFmtId="0" fontId="47" fillId="0" borderId="21" xfId="0" applyFont="1" applyBorder="1"/>
    <xf numFmtId="41" fontId="47" fillId="0" borderId="28" xfId="0" applyNumberFormat="1" applyFont="1" applyBorder="1"/>
    <xf numFmtId="0" fontId="47" fillId="0" borderId="22" xfId="0" applyFont="1" applyBorder="1"/>
    <xf numFmtId="0" fontId="0" fillId="0" borderId="0" xfId="0" applyFont="1" applyProtection="1">
      <protection locked="0"/>
    </xf>
    <xf numFmtId="0" fontId="63" fillId="0" borderId="0" xfId="0" applyFont="1" applyProtection="1">
      <protection locked="0"/>
    </xf>
    <xf numFmtId="170" fontId="0" fillId="0" borderId="0" xfId="0" applyNumberFormat="1"/>
    <xf numFmtId="165" fontId="0" fillId="0" borderId="0" xfId="0" applyNumberFormat="1" applyBorder="1"/>
    <xf numFmtId="165" fontId="0" fillId="0" borderId="0" xfId="0" applyNumberFormat="1" applyProtection="1">
      <protection locked="0"/>
    </xf>
    <xf numFmtId="165" fontId="0" fillId="0" borderId="0" xfId="2" applyNumberFormat="1" applyFont="1" applyProtection="1">
      <protection locked="0"/>
    </xf>
    <xf numFmtId="166" fontId="42" fillId="0" borderId="0" xfId="0" applyNumberFormat="1" applyFont="1" applyProtection="1">
      <protection locked="0"/>
    </xf>
    <xf numFmtId="166" fontId="0" fillId="0" borderId="0" xfId="0" applyNumberFormat="1" applyProtection="1">
      <protection locked="0"/>
    </xf>
    <xf numFmtId="0" fontId="0" fillId="0" borderId="0" xfId="0" applyAlignment="1">
      <alignment horizontal="center"/>
    </xf>
    <xf numFmtId="164" fontId="42" fillId="0" borderId="0" xfId="0" applyNumberFormat="1" applyFont="1"/>
    <xf numFmtId="41" fontId="21" fillId="0" borderId="0" xfId="142" applyNumberFormat="1" applyFont="1" applyFill="1" applyAlignment="1">
      <alignment vertical="center"/>
    </xf>
    <xf numFmtId="41" fontId="21" fillId="5" borderId="0" xfId="142" applyNumberFormat="1" applyFont="1" applyFill="1" applyBorder="1" applyAlignment="1">
      <alignment vertical="center"/>
    </xf>
    <xf numFmtId="0" fontId="25" fillId="0" borderId="0" xfId="142" applyFont="1" applyAlignment="1">
      <alignment vertical="center"/>
    </xf>
    <xf numFmtId="41" fontId="21" fillId="0" borderId="0" xfId="142" applyNumberFormat="1" applyFont="1" applyFill="1" applyBorder="1" applyAlignment="1">
      <alignment vertical="center"/>
    </xf>
    <xf numFmtId="0" fontId="65" fillId="0" borderId="0" xfId="0" applyFont="1"/>
    <xf numFmtId="0" fontId="25" fillId="0" borderId="16" xfId="0" applyFont="1" applyBorder="1" applyAlignment="1">
      <alignment horizontal="right"/>
    </xf>
    <xf numFmtId="164" fontId="35" fillId="0" borderId="7" xfId="1" applyNumberFormat="1" applyFont="1" applyFill="1" applyBorder="1"/>
    <xf numFmtId="164" fontId="35" fillId="0" borderId="3" xfId="1" applyNumberFormat="1" applyFont="1" applyFill="1" applyBorder="1"/>
    <xf numFmtId="164" fontId="35" fillId="0" borderId="8" xfId="1" applyNumberFormat="1" applyFont="1" applyFill="1" applyBorder="1"/>
    <xf numFmtId="164" fontId="35" fillId="0" borderId="9" xfId="1" applyNumberFormat="1" applyFont="1" applyFill="1" applyBorder="1"/>
    <xf numFmtId="0" fontId="65" fillId="0" borderId="0" xfId="0" applyFont="1" applyFill="1" applyBorder="1"/>
    <xf numFmtId="164" fontId="35" fillId="0" borderId="11" xfId="1" applyNumberFormat="1" applyFont="1" applyFill="1" applyBorder="1"/>
    <xf numFmtId="164" fontId="35" fillId="0" borderId="12" xfId="1" applyNumberFormat="1" applyFont="1" applyFill="1" applyBorder="1"/>
    <xf numFmtId="164" fontId="35" fillId="0" borderId="15" xfId="1" applyNumberFormat="1" applyFont="1" applyFill="1" applyBorder="1"/>
    <xf numFmtId="164" fontId="5" fillId="0" borderId="3" xfId="1" applyNumberFormat="1" applyFont="1" applyBorder="1"/>
    <xf numFmtId="0" fontId="0" fillId="0" borderId="3" xfId="0" applyFill="1" applyBorder="1"/>
    <xf numFmtId="164" fontId="5" fillId="0" borderId="0" xfId="1" applyNumberFormat="1" applyFont="1" applyFill="1"/>
    <xf numFmtId="37" fontId="18" fillId="0" borderId="4" xfId="1" applyNumberFormat="1" applyFont="1" applyFill="1" applyBorder="1"/>
    <xf numFmtId="37" fontId="18" fillId="0" borderId="4" xfId="1" applyNumberFormat="1" applyFont="1" applyBorder="1"/>
    <xf numFmtId="37" fontId="18" fillId="0" borderId="11" xfId="1" applyNumberFormat="1" applyFont="1" applyBorder="1"/>
    <xf numFmtId="0" fontId="5" fillId="0" borderId="2" xfId="0" applyFont="1" applyBorder="1" applyAlignment="1">
      <alignment horizontal="left" indent="1"/>
    </xf>
    <xf numFmtId="0" fontId="0" fillId="0" borderId="17" xfId="0" applyBorder="1"/>
    <xf numFmtId="164" fontId="35" fillId="0" borderId="13" xfId="1" applyNumberFormat="1" applyFont="1" applyBorder="1"/>
    <xf numFmtId="0" fontId="0" fillId="0" borderId="14" xfId="0" applyBorder="1"/>
    <xf numFmtId="0" fontId="5" fillId="0" borderId="1" xfId="0" applyFont="1" applyBorder="1" applyAlignment="1">
      <alignment horizontal="left"/>
    </xf>
    <xf numFmtId="164" fontId="4" fillId="0" borderId="1" xfId="0" applyNumberFormat="1" applyFont="1" applyBorder="1"/>
    <xf numFmtId="164" fontId="35" fillId="6" borderId="2" xfId="1" applyNumberFormat="1" applyFont="1" applyFill="1" applyBorder="1"/>
    <xf numFmtId="165" fontId="37" fillId="0" borderId="0" xfId="2" applyNumberFormat="1" applyFont="1" applyBorder="1"/>
    <xf numFmtId="0" fontId="0" fillId="0" borderId="0" xfId="0" applyAlignment="1">
      <alignment horizontal="left" indent="1"/>
    </xf>
    <xf numFmtId="0" fontId="17" fillId="0" borderId="0" xfId="0" applyFont="1" applyAlignment="1">
      <alignment horizontal="left" indent="1"/>
    </xf>
    <xf numFmtId="0" fontId="14" fillId="0" borderId="0" xfId="0" applyFont="1"/>
    <xf numFmtId="164" fontId="44" fillId="0" borderId="0" xfId="0" applyNumberFormat="1" applyFont="1" applyFill="1"/>
    <xf numFmtId="164" fontId="44" fillId="27" borderId="0" xfId="0" applyNumberFormat="1" applyFont="1" applyFill="1"/>
    <xf numFmtId="164" fontId="44" fillId="19" borderId="0" xfId="0" applyNumberFormat="1" applyFont="1" applyFill="1" applyBorder="1"/>
    <xf numFmtId="0" fontId="42" fillId="0" borderId="0" xfId="0" applyFont="1" applyAlignment="1">
      <alignment horizontal="left" indent="1"/>
    </xf>
    <xf numFmtId="0" fontId="67" fillId="0" borderId="0" xfId="142" applyFont="1" applyAlignment="1">
      <alignment horizontal="left" indent="1"/>
    </xf>
    <xf numFmtId="0" fontId="67" fillId="0" borderId="0" xfId="142" applyFont="1" applyFill="1" applyAlignment="1">
      <alignment horizontal="left" indent="1"/>
    </xf>
    <xf numFmtId="0" fontId="67" fillId="0" borderId="0" xfId="142" applyFont="1" applyFill="1" applyBorder="1" applyAlignment="1">
      <alignment horizontal="left" indent="1"/>
    </xf>
    <xf numFmtId="0" fontId="0" fillId="0" borderId="5" xfId="0" applyBorder="1"/>
    <xf numFmtId="164" fontId="41" fillId="28" borderId="0" xfId="0" applyNumberFormat="1" applyFont="1" applyFill="1"/>
    <xf numFmtId="164" fontId="41" fillId="0" borderId="0" xfId="0" applyNumberFormat="1" applyFont="1" applyFill="1"/>
    <xf numFmtId="164" fontId="41" fillId="0" borderId="0" xfId="0" applyNumberFormat="1" applyFont="1" applyFill="1" applyBorder="1"/>
    <xf numFmtId="0" fontId="47" fillId="0" borderId="0" xfId="0" applyFont="1" applyFill="1" applyBorder="1" applyAlignment="1">
      <alignment horizontal="left" indent="1"/>
    </xf>
    <xf numFmtId="0" fontId="47" fillId="7" borderId="0" xfId="0" applyFont="1" applyFill="1" applyBorder="1"/>
    <xf numFmtId="41" fontId="23" fillId="7" borderId="0" xfId="1" applyNumberFormat="1" applyFont="1" applyFill="1"/>
    <xf numFmtId="164" fontId="47" fillId="7" borderId="0" xfId="0" applyNumberFormat="1" applyFont="1" applyFill="1" applyBorder="1"/>
    <xf numFmtId="0" fontId="23" fillId="29" borderId="0" xfId="0" applyFont="1" applyFill="1" applyBorder="1"/>
    <xf numFmtId="164" fontId="47" fillId="29" borderId="3" xfId="0" applyNumberFormat="1" applyFont="1" applyFill="1" applyBorder="1"/>
    <xf numFmtId="0" fontId="0" fillId="29" borderId="0" xfId="0" applyFill="1"/>
    <xf numFmtId="0" fontId="47" fillId="29" borderId="0" xfId="0" applyFont="1" applyFill="1"/>
    <xf numFmtId="0" fontId="47" fillId="29" borderId="0" xfId="0" applyFont="1" applyFill="1" applyBorder="1"/>
    <xf numFmtId="164" fontId="23" fillId="29" borderId="3" xfId="144" applyNumberFormat="1" applyFont="1" applyFill="1" applyBorder="1"/>
    <xf numFmtId="0" fontId="68" fillId="30" borderId="0" xfId="0" applyFont="1" applyFill="1" applyBorder="1"/>
    <xf numFmtId="164" fontId="68" fillId="30" borderId="1" xfId="1" applyNumberFormat="1" applyFont="1" applyFill="1" applyBorder="1"/>
    <xf numFmtId="0" fontId="64" fillId="30" borderId="0" xfId="0" applyFont="1" applyFill="1"/>
    <xf numFmtId="0" fontId="68" fillId="30" borderId="0" xfId="0" applyFont="1" applyFill="1"/>
    <xf numFmtId="164" fontId="23" fillId="5" borderId="0" xfId="2281" applyNumberFormat="1" applyFont="1" applyFill="1"/>
    <xf numFmtId="164" fontId="23" fillId="0" borderId="0" xfId="2281" applyNumberFormat="1" applyFont="1" applyFill="1"/>
    <xf numFmtId="164" fontId="23" fillId="0" borderId="0" xfId="2281" applyNumberFormat="1" applyFont="1" applyFill="1" applyBorder="1"/>
    <xf numFmtId="164" fontId="23" fillId="7" borderId="0" xfId="2281" applyNumberFormat="1" applyFont="1" applyFill="1"/>
    <xf numFmtId="41" fontId="23" fillId="7" borderId="0" xfId="1" applyNumberFormat="1" applyFont="1" applyFill="1" applyBorder="1"/>
    <xf numFmtId="0" fontId="47" fillId="7" borderId="0" xfId="0" applyFont="1" applyFill="1" applyBorder="1" applyAlignment="1">
      <alignment horizontal="left" indent="1"/>
    </xf>
    <xf numFmtId="164" fontId="23" fillId="7" borderId="0" xfId="144" applyNumberFormat="1" applyFont="1" applyFill="1" applyBorder="1"/>
    <xf numFmtId="164" fontId="0" fillId="0" borderId="0" xfId="2281" applyNumberFormat="1" applyFont="1" applyFill="1"/>
    <xf numFmtId="0" fontId="0" fillId="0" borderId="0" xfId="0" applyFont="1"/>
    <xf numFmtId="0" fontId="47" fillId="0" borderId="0" xfId="0" applyFont="1" applyBorder="1"/>
    <xf numFmtId="0" fontId="47" fillId="0" borderId="5" xfId="0" applyFont="1" applyBorder="1"/>
    <xf numFmtId="164" fontId="23" fillId="0" borderId="2" xfId="2281" applyNumberFormat="1" applyFont="1" applyFill="1" applyBorder="1"/>
    <xf numFmtId="164" fontId="23" fillId="5" borderId="0" xfId="2281" applyNumberFormat="1" applyFont="1" applyFill="1" applyBorder="1"/>
    <xf numFmtId="164" fontId="46" fillId="0" borderId="0" xfId="0" applyNumberFormat="1" applyFont="1" applyAlignment="1"/>
    <xf numFmtId="0" fontId="43" fillId="0" borderId="0" xfId="0" applyFont="1" applyAlignment="1">
      <alignment horizontal="center" wrapText="1"/>
    </xf>
    <xf numFmtId="166" fontId="0" fillId="7" borderId="0" xfId="87" applyNumberFormat="1" applyFont="1" applyFill="1"/>
    <xf numFmtId="166" fontId="0" fillId="0" borderId="0" xfId="87" applyNumberFormat="1" applyFont="1" applyFill="1"/>
    <xf numFmtId="166" fontId="0" fillId="29" borderId="0" xfId="87" applyNumberFormat="1" applyFont="1" applyFill="1"/>
    <xf numFmtId="0" fontId="0" fillId="0" borderId="25" xfId="0" applyBorder="1"/>
    <xf numFmtId="0" fontId="0" fillId="0" borderId="20" xfId="0" applyBorder="1"/>
    <xf numFmtId="0" fontId="0" fillId="0" borderId="27" xfId="0" applyBorder="1"/>
    <xf numFmtId="0" fontId="3" fillId="0" borderId="26" xfId="0" applyFont="1" applyBorder="1"/>
    <xf numFmtId="166" fontId="3" fillId="0" borderId="0" xfId="87" applyNumberFormat="1" applyFont="1" applyBorder="1"/>
    <xf numFmtId="0" fontId="0" fillId="0" borderId="21" xfId="0" applyBorder="1"/>
    <xf numFmtId="0" fontId="0" fillId="0" borderId="28" xfId="0" applyBorder="1"/>
    <xf numFmtId="0" fontId="0" fillId="0" borderId="22" xfId="0" applyBorder="1"/>
    <xf numFmtId="0" fontId="49" fillId="0" borderId="0" xfId="0" applyFont="1" applyFill="1"/>
    <xf numFmtId="164" fontId="49" fillId="0" borderId="0" xfId="1" applyNumberFormat="1" applyFont="1" applyFill="1"/>
    <xf numFmtId="4" fontId="0" fillId="0" borderId="0" xfId="0" applyNumberFormat="1"/>
    <xf numFmtId="49" fontId="0" fillId="0" borderId="0" xfId="0" applyNumberFormat="1"/>
    <xf numFmtId="43" fontId="0" fillId="0" borderId="0" xfId="1" applyFont="1"/>
    <xf numFmtId="0" fontId="60" fillId="0" borderId="1" xfId="0" applyFont="1" applyBorder="1" applyAlignment="1">
      <alignment horizontal="center" vertical="center" wrapText="1"/>
    </xf>
    <xf numFmtId="41" fontId="47" fillId="0" borderId="0" xfId="0" applyNumberFormat="1" applyFont="1" applyFill="1"/>
    <xf numFmtId="0" fontId="49" fillId="7" borderId="0" xfId="0" applyFont="1" applyFill="1"/>
    <xf numFmtId="164" fontId="47" fillId="7" borderId="0" xfId="0" applyNumberFormat="1" applyFont="1" applyFill="1"/>
    <xf numFmtId="164" fontId="49" fillId="29" borderId="0" xfId="1" applyNumberFormat="1" applyFont="1" applyFill="1"/>
    <xf numFmtId="43" fontId="49" fillId="29" borderId="0" xfId="1" applyNumberFormat="1" applyFont="1" applyFill="1"/>
    <xf numFmtId="10" fontId="47" fillId="0" borderId="0" xfId="0" applyNumberFormat="1" applyFont="1"/>
    <xf numFmtId="0" fontId="48" fillId="0" borderId="5" xfId="0" applyFont="1" applyBorder="1" applyAlignment="1">
      <alignment horizontal="left"/>
    </xf>
    <xf numFmtId="164" fontId="42" fillId="0" borderId="5" xfId="1" applyNumberFormat="1" applyFont="1" applyBorder="1"/>
    <xf numFmtId="164" fontId="42" fillId="0" borderId="5" xfId="0" applyNumberFormat="1" applyFont="1" applyBorder="1"/>
    <xf numFmtId="164" fontId="42" fillId="0" borderId="0" xfId="0" applyNumberFormat="1" applyFont="1" applyBorder="1"/>
    <xf numFmtId="164" fontId="8" fillId="0" borderId="0" xfId="1" applyNumberFormat="1" applyFont="1" applyBorder="1"/>
    <xf numFmtId="14" fontId="6" fillId="0" borderId="1" xfId="0" quotePrefix="1" applyNumberFormat="1" applyFont="1" applyBorder="1" applyAlignment="1">
      <alignment horizontal="center"/>
    </xf>
    <xf numFmtId="165" fontId="42" fillId="0" borderId="0" xfId="2" applyNumberFormat="1" applyFont="1"/>
    <xf numFmtId="0" fontId="69" fillId="0" borderId="0" xfId="0" applyFont="1"/>
    <xf numFmtId="0" fontId="42" fillId="0" borderId="30" xfId="0" applyFont="1" applyBorder="1" applyProtection="1">
      <protection locked="0"/>
    </xf>
    <xf numFmtId="0" fontId="42" fillId="0" borderId="31" xfId="0" applyFont="1" applyBorder="1" applyProtection="1">
      <protection locked="0"/>
    </xf>
    <xf numFmtId="0" fontId="42" fillId="0" borderId="31" xfId="0" applyFont="1" applyBorder="1" applyAlignment="1" applyProtection="1">
      <alignment horizontal="center"/>
      <protection locked="0"/>
    </xf>
    <xf numFmtId="9" fontId="42" fillId="0" borderId="0" xfId="0" applyNumberFormat="1" applyFont="1" applyFill="1" applyBorder="1"/>
    <xf numFmtId="0" fontId="43" fillId="0" borderId="19" xfId="0" applyFont="1" applyBorder="1" applyAlignment="1" applyProtection="1">
      <alignment vertical="center"/>
      <protection locked="0"/>
    </xf>
    <xf numFmtId="0" fontId="41" fillId="0" borderId="25" xfId="0" applyFont="1" applyBorder="1" applyAlignment="1" applyProtection="1">
      <alignment horizontal="left" vertical="center" wrapText="1"/>
      <protection locked="0"/>
    </xf>
    <xf numFmtId="0" fontId="42" fillId="21" borderId="19" xfId="0" applyFont="1" applyFill="1" applyBorder="1"/>
    <xf numFmtId="0" fontId="43" fillId="0" borderId="26" xfId="0" applyFont="1" applyBorder="1" applyAlignment="1" applyProtection="1">
      <alignment vertical="center"/>
      <protection locked="0"/>
    </xf>
    <xf numFmtId="0" fontId="41" fillId="0" borderId="0" xfId="0" applyFont="1" applyBorder="1" applyAlignment="1" applyProtection="1">
      <alignment horizontal="left" vertical="center" wrapText="1"/>
      <protection locked="0"/>
    </xf>
    <xf numFmtId="0" fontId="42" fillId="21" borderId="21" xfId="0" applyFont="1" applyFill="1" applyBorder="1"/>
    <xf numFmtId="0" fontId="42" fillId="21" borderId="26" xfId="0" applyFont="1" applyFill="1" applyBorder="1"/>
    <xf numFmtId="171" fontId="42" fillId="21" borderId="20" xfId="0" applyNumberFormat="1" applyFont="1" applyFill="1" applyBorder="1"/>
    <xf numFmtId="171" fontId="42" fillId="21" borderId="27" xfId="0" applyNumberFormat="1" applyFont="1" applyFill="1" applyBorder="1"/>
    <xf numFmtId="171" fontId="42" fillId="21" borderId="22" xfId="0" applyNumberFormat="1" applyFont="1" applyFill="1" applyBorder="1"/>
    <xf numFmtId="0" fontId="42" fillId="0" borderId="0" xfId="0" applyFont="1" applyBorder="1"/>
    <xf numFmtId="0" fontId="70" fillId="31" borderId="0" xfId="0" applyFont="1" applyFill="1" applyBorder="1" applyAlignment="1" applyProtection="1">
      <alignment horizontal="center" vertical="top" wrapText="1" readingOrder="1"/>
      <protection locked="0"/>
    </xf>
    <xf numFmtId="0" fontId="42" fillId="0" borderId="0" xfId="0" applyFont="1" applyBorder="1" applyAlignment="1" applyProtection="1">
      <alignment vertical="top" wrapText="1"/>
      <protection locked="0"/>
    </xf>
    <xf numFmtId="172" fontId="42" fillId="0" borderId="0" xfId="0" applyNumberFormat="1" applyFont="1" applyBorder="1" applyAlignment="1" applyProtection="1">
      <alignment vertical="top" wrapText="1"/>
      <protection locked="0"/>
    </xf>
    <xf numFmtId="172" fontId="43" fillId="0" borderId="0" xfId="0" applyNumberFormat="1" applyFont="1"/>
    <xf numFmtId="0" fontId="42" fillId="0" borderId="0" xfId="0" applyFont="1" applyBorder="1" applyAlignment="1" applyProtection="1">
      <alignment vertical="top"/>
      <protection locked="0"/>
    </xf>
    <xf numFmtId="172" fontId="43" fillId="0" borderId="0" xfId="0" applyNumberFormat="1" applyFont="1" applyBorder="1" applyAlignment="1" applyProtection="1">
      <alignment vertical="top" wrapText="1"/>
      <protection locked="0"/>
    </xf>
    <xf numFmtId="0" fontId="44" fillId="17" borderId="33" xfId="0" applyFont="1" applyFill="1" applyBorder="1" applyAlignment="1" applyProtection="1">
      <alignment horizontal="left" vertical="top"/>
      <protection locked="0"/>
    </xf>
    <xf numFmtId="0" fontId="42" fillId="3" borderId="0" xfId="0" applyFont="1" applyFill="1" applyBorder="1" applyAlignment="1" applyProtection="1">
      <alignment vertical="top" wrapText="1"/>
      <protection locked="0"/>
    </xf>
    <xf numFmtId="0" fontId="44" fillId="0" borderId="34" xfId="0" applyFont="1" applyFill="1" applyBorder="1" applyAlignment="1" applyProtection="1">
      <alignment horizontal="left" vertical="top" indent="1"/>
      <protection locked="0"/>
    </xf>
    <xf numFmtId="0" fontId="44" fillId="10" borderId="34" xfId="0" applyFont="1" applyFill="1" applyBorder="1" applyAlignment="1" applyProtection="1">
      <alignment horizontal="left" vertical="top" indent="1"/>
      <protection locked="0"/>
    </xf>
    <xf numFmtId="172" fontId="42" fillId="10" borderId="0" xfId="0" applyNumberFormat="1" applyFont="1" applyFill="1" applyBorder="1" applyAlignment="1" applyProtection="1">
      <alignment vertical="top" wrapText="1"/>
      <protection locked="0"/>
    </xf>
    <xf numFmtId="0" fontId="42" fillId="10" borderId="0" xfId="0" applyFont="1" applyFill="1" applyBorder="1" applyAlignment="1" applyProtection="1">
      <alignment vertical="top" wrapText="1"/>
      <protection locked="0"/>
    </xf>
    <xf numFmtId="0" fontId="44" fillId="0" borderId="0" xfId="0" applyFont="1" applyFill="1" applyBorder="1" applyAlignment="1" applyProtection="1">
      <alignment horizontal="left" vertical="top" indent="1"/>
      <protection locked="0"/>
    </xf>
    <xf numFmtId="0" fontId="43" fillId="0" borderId="3" xfId="0" applyFont="1" applyBorder="1" applyAlignment="1" applyProtection="1">
      <alignment horizontal="left" vertical="top" wrapText="1" indent="1"/>
      <protection locked="0"/>
    </xf>
    <xf numFmtId="172" fontId="43" fillId="0" borderId="3" xfId="0" applyNumberFormat="1" applyFont="1" applyBorder="1" applyAlignment="1" applyProtection="1">
      <alignment vertical="top" wrapText="1"/>
      <protection locked="0"/>
    </xf>
    <xf numFmtId="0" fontId="42" fillId="0" borderId="0" xfId="0" applyFont="1" applyBorder="1" applyAlignment="1" applyProtection="1">
      <alignment horizontal="left" vertical="top" wrapText="1" indent="1"/>
      <protection locked="0"/>
    </xf>
    <xf numFmtId="1" fontId="42" fillId="0" borderId="0" xfId="0" applyNumberFormat="1" applyFont="1" applyBorder="1" applyAlignment="1" applyProtection="1">
      <alignment vertical="top" wrapText="1"/>
      <protection locked="0"/>
    </xf>
    <xf numFmtId="0" fontId="41" fillId="32" borderId="0" xfId="0" applyFont="1" applyFill="1" applyBorder="1" applyAlignment="1" applyProtection="1">
      <alignment horizontal="left" vertical="top" indent="1"/>
      <protection locked="0"/>
    </xf>
    <xf numFmtId="172" fontId="42" fillId="17" borderId="0" xfId="0" applyNumberFormat="1" applyFont="1" applyFill="1" applyAlignment="1" applyProtection="1">
      <alignment vertical="top" wrapText="1"/>
      <protection locked="0"/>
    </xf>
    <xf numFmtId="0" fontId="42" fillId="0" borderId="0" xfId="0" applyFont="1" applyFill="1" applyBorder="1" applyAlignment="1" applyProtection="1">
      <alignment vertical="top" wrapText="1"/>
      <protection locked="0"/>
    </xf>
    <xf numFmtId="172" fontId="0" fillId="0" borderId="0" xfId="0" applyNumberFormat="1" applyBorder="1" applyAlignment="1" applyProtection="1">
      <alignment vertical="top" wrapText="1"/>
      <protection locked="0"/>
    </xf>
    <xf numFmtId="0" fontId="42" fillId="0" borderId="0" xfId="0" applyFont="1" applyFill="1" applyAlignment="1">
      <alignment horizontal="center" vertical="center"/>
    </xf>
    <xf numFmtId="172" fontId="0" fillId="0" borderId="0" xfId="0" applyNumberFormat="1"/>
    <xf numFmtId="0" fontId="9" fillId="3" borderId="0" xfId="0" applyFont="1" applyFill="1"/>
    <xf numFmtId="0" fontId="70" fillId="31" borderId="3" xfId="0" applyFont="1" applyFill="1" applyBorder="1" applyAlignment="1" applyProtection="1">
      <alignment horizontal="center" vertical="top" wrapText="1" readingOrder="1"/>
      <protection locked="0"/>
    </xf>
    <xf numFmtId="0" fontId="9" fillId="17" borderId="0" xfId="0" applyFont="1" applyFill="1"/>
    <xf numFmtId="0" fontId="48" fillId="0" borderId="3" xfId="0" applyFont="1" applyBorder="1"/>
    <xf numFmtId="0" fontId="44" fillId="14" borderId="3" xfId="0" applyFont="1" applyFill="1" applyBorder="1" applyAlignment="1" applyProtection="1">
      <alignment horizontal="center" vertical="top" wrapText="1"/>
      <protection locked="0"/>
    </xf>
    <xf numFmtId="0" fontId="44" fillId="0" borderId="34" xfId="0" applyFont="1" applyBorder="1" applyAlignment="1" applyProtection="1">
      <alignment horizontal="left" vertical="top" indent="1"/>
      <protection locked="0"/>
    </xf>
    <xf numFmtId="172" fontId="41" fillId="0" borderId="0" xfId="0" applyNumberFormat="1" applyFont="1" applyAlignment="1" applyProtection="1">
      <alignment vertical="top" wrapText="1"/>
      <protection locked="0"/>
    </xf>
    <xf numFmtId="0" fontId="44" fillId="14" borderId="34" xfId="0" applyFont="1" applyFill="1" applyBorder="1" applyAlignment="1" applyProtection="1">
      <alignment horizontal="left" vertical="top" indent="1"/>
      <protection locked="0"/>
    </xf>
    <xf numFmtId="172" fontId="41" fillId="14" borderId="0" xfId="0" applyNumberFormat="1" applyFont="1" applyFill="1" applyAlignment="1" applyProtection="1">
      <alignment vertical="top" wrapText="1"/>
      <protection locked="0"/>
    </xf>
    <xf numFmtId="0" fontId="41" fillId="0" borderId="0" xfId="0" applyFont="1" applyAlignment="1" applyProtection="1">
      <alignment vertical="top" wrapText="1"/>
      <protection locked="0"/>
    </xf>
    <xf numFmtId="0" fontId="41" fillId="14" borderId="0" xfId="0" applyFont="1" applyFill="1" applyAlignment="1" applyProtection="1">
      <alignment vertical="top" wrapText="1"/>
      <protection locked="0"/>
    </xf>
    <xf numFmtId="0" fontId="44" fillId="0" borderId="0" xfId="0" applyFont="1" applyAlignment="1" applyProtection="1">
      <alignment horizontal="left" vertical="top" indent="1"/>
      <protection locked="0"/>
    </xf>
    <xf numFmtId="0" fontId="44" fillId="0" borderId="3" xfId="0" applyFont="1" applyBorder="1" applyAlignment="1" applyProtection="1">
      <alignment horizontal="left" vertical="top" wrapText="1" indent="1"/>
      <protection locked="0"/>
    </xf>
    <xf numFmtId="172" fontId="44" fillId="0" borderId="3" xfId="0" applyNumberFormat="1" applyFont="1" applyBorder="1" applyAlignment="1" applyProtection="1">
      <alignment vertical="top" wrapText="1"/>
      <protection locked="0"/>
    </xf>
    <xf numFmtId="10" fontId="41" fillId="0" borderId="0" xfId="2" applyNumberFormat="1" applyFont="1" applyAlignment="1" applyProtection="1">
      <alignment vertical="top" wrapText="1"/>
      <protection locked="0"/>
    </xf>
    <xf numFmtId="10" fontId="43" fillId="0" borderId="3" xfId="2" applyNumberFormat="1" applyFont="1" applyBorder="1" applyAlignment="1" applyProtection="1">
      <alignment vertical="top" wrapText="1"/>
      <protection locked="0"/>
    </xf>
    <xf numFmtId="10" fontId="41" fillId="10" borderId="0" xfId="2" applyNumberFormat="1" applyFont="1" applyFill="1" applyAlignment="1" applyProtection="1">
      <alignment vertical="top" wrapText="1"/>
      <protection locked="0"/>
    </xf>
    <xf numFmtId="0" fontId="42" fillId="0" borderId="0" xfId="0" applyFont="1" applyFill="1" applyBorder="1" applyAlignment="1" applyProtection="1">
      <alignment horizontal="center"/>
      <protection locked="0"/>
    </xf>
    <xf numFmtId="10" fontId="42" fillId="0" borderId="0" xfId="0" applyNumberFormat="1" applyFont="1" applyFill="1" applyBorder="1" applyAlignment="1" applyProtection="1">
      <alignment horizontal="center" vertical="center"/>
      <protection locked="0"/>
    </xf>
    <xf numFmtId="10" fontId="5" fillId="0" borderId="0" xfId="2" applyNumberFormat="1" applyFont="1" applyFill="1" applyBorder="1" applyAlignment="1" applyProtection="1">
      <alignment horizontal="center" vertical="center"/>
      <protection locked="0"/>
    </xf>
    <xf numFmtId="0" fontId="44" fillId="0" borderId="3" xfId="0" applyFont="1" applyFill="1" applyBorder="1" applyAlignment="1" applyProtection="1">
      <alignment horizontal="center" vertical="top" wrapText="1"/>
      <protection locked="0"/>
    </xf>
    <xf numFmtId="0" fontId="43" fillId="0" borderId="23" xfId="0" applyFont="1" applyBorder="1" applyAlignment="1">
      <alignment vertical="center"/>
    </xf>
    <xf numFmtId="0" fontId="43" fillId="0" borderId="29" xfId="0" applyFont="1" applyBorder="1" applyAlignment="1">
      <alignment vertical="center"/>
    </xf>
    <xf numFmtId="3" fontId="43" fillId="0" borderId="24" xfId="0" applyNumberFormat="1" applyFont="1" applyBorder="1" applyAlignment="1">
      <alignment vertical="center"/>
    </xf>
    <xf numFmtId="0" fontId="0" fillId="0" borderId="0" xfId="0" applyBorder="1" applyAlignment="1" applyProtection="1">
      <alignment vertical="top" wrapText="1"/>
      <protection locked="0"/>
    </xf>
    <xf numFmtId="0" fontId="67" fillId="0" borderId="0" xfId="0" applyFont="1" applyBorder="1" applyAlignment="1" applyProtection="1">
      <alignment vertical="top" wrapText="1"/>
      <protection locked="0"/>
    </xf>
    <xf numFmtId="172" fontId="67" fillId="0" borderId="0" xfId="0" applyNumberFormat="1" applyFont="1" applyBorder="1" applyAlignment="1" applyProtection="1">
      <alignment vertical="top" wrapText="1"/>
      <protection locked="0"/>
    </xf>
    <xf numFmtId="0" fontId="67" fillId="0" borderId="0" xfId="0" applyFont="1" applyFill="1" applyBorder="1" applyAlignment="1" applyProtection="1">
      <alignment vertical="top" wrapText="1"/>
      <protection locked="0"/>
    </xf>
    <xf numFmtId="0" fontId="42" fillId="0" borderId="0" xfId="0" applyFont="1" applyAlignment="1">
      <alignment horizontal="center"/>
    </xf>
    <xf numFmtId="0" fontId="44" fillId="0" borderId="5" xfId="0" applyFont="1" applyBorder="1" applyAlignment="1" applyProtection="1">
      <alignment horizontal="left" vertical="top" indent="1"/>
      <protection locked="0"/>
    </xf>
    <xf numFmtId="0" fontId="67" fillId="0" borderId="5" xfId="0" applyFont="1" applyBorder="1" applyAlignment="1" applyProtection="1">
      <alignment vertical="top" wrapText="1"/>
      <protection locked="0"/>
    </xf>
    <xf numFmtId="10" fontId="42" fillId="0" borderId="0" xfId="2" applyNumberFormat="1" applyFont="1"/>
    <xf numFmtId="10" fontId="42" fillId="0" borderId="3" xfId="0" applyNumberFormat="1" applyFont="1" applyBorder="1"/>
    <xf numFmtId="10" fontId="42" fillId="10" borderId="0" xfId="2" applyNumberFormat="1" applyFont="1" applyFill="1"/>
    <xf numFmtId="0" fontId="42" fillId="0" borderId="24" xfId="0" applyFont="1" applyFill="1" applyBorder="1" applyAlignment="1" applyProtection="1">
      <alignment horizontal="center"/>
      <protection locked="0"/>
    </xf>
    <xf numFmtId="0" fontId="43" fillId="0" borderId="21" xfId="0" applyFont="1" applyBorder="1" applyAlignment="1" applyProtection="1">
      <alignment vertical="center"/>
      <protection locked="0"/>
    </xf>
    <xf numFmtId="0" fontId="41" fillId="0" borderId="28" xfId="0" applyFont="1" applyBorder="1" applyAlignment="1" applyProtection="1">
      <alignment horizontal="left" vertical="center" wrapText="1"/>
      <protection locked="0"/>
    </xf>
    <xf numFmtId="9" fontId="42" fillId="0" borderId="28" xfId="0" applyNumberFormat="1" applyFont="1" applyBorder="1"/>
    <xf numFmtId="165" fontId="42" fillId="0" borderId="22" xfId="0" applyNumberFormat="1" applyFont="1" applyBorder="1"/>
    <xf numFmtId="0" fontId="70" fillId="31" borderId="35" xfId="0" applyFont="1" applyFill="1" applyBorder="1" applyAlignment="1" applyProtection="1">
      <alignment horizontal="center" vertical="center" wrapText="1" readingOrder="1"/>
      <protection locked="0"/>
    </xf>
    <xf numFmtId="172" fontId="42" fillId="0" borderId="0" xfId="0" applyNumberFormat="1" applyFont="1" applyFill="1"/>
    <xf numFmtId="172" fontId="42" fillId="0" borderId="0" xfId="0" applyNumberFormat="1" applyFont="1"/>
    <xf numFmtId="0" fontId="73" fillId="0" borderId="33" xfId="0" applyFont="1" applyBorder="1" applyAlignment="1" applyProtection="1">
      <alignment horizontal="left" vertical="top"/>
      <protection locked="0"/>
    </xf>
    <xf numFmtId="0" fontId="74" fillId="0" borderId="0" xfId="0" applyFont="1" applyAlignment="1" applyProtection="1">
      <alignment vertical="top" wrapText="1"/>
      <protection locked="0"/>
    </xf>
    <xf numFmtId="1" fontId="0" fillId="0" borderId="0" xfId="0" applyNumberFormat="1" applyBorder="1" applyAlignment="1" applyProtection="1">
      <alignment vertical="top" wrapText="1"/>
      <protection locked="0"/>
    </xf>
    <xf numFmtId="0" fontId="71" fillId="33" borderId="35" xfId="0" applyFont="1" applyFill="1" applyBorder="1" applyAlignment="1" applyProtection="1">
      <alignment horizontal="center" vertical="top" wrapText="1" readingOrder="1"/>
      <protection locked="0"/>
    </xf>
    <xf numFmtId="0" fontId="71" fillId="33" borderId="36" xfId="0" applyFont="1" applyFill="1" applyBorder="1" applyAlignment="1" applyProtection="1">
      <alignment vertical="top" wrapText="1" readingOrder="1"/>
      <protection locked="0"/>
    </xf>
    <xf numFmtId="0" fontId="0" fillId="7" borderId="0" xfId="0" applyFill="1" applyBorder="1" applyAlignment="1" applyProtection="1">
      <alignment vertical="top" wrapText="1"/>
      <protection locked="0"/>
    </xf>
    <xf numFmtId="2" fontId="42" fillId="0" borderId="0" xfId="0" applyNumberFormat="1" applyFont="1"/>
    <xf numFmtId="0" fontId="42" fillId="0" borderId="0" xfId="0" applyFont="1" applyFill="1" applyBorder="1"/>
    <xf numFmtId="0" fontId="42" fillId="0" borderId="3" xfId="0" applyFont="1" applyBorder="1" applyAlignment="1">
      <alignment vertical="center"/>
    </xf>
    <xf numFmtId="0" fontId="42" fillId="0" borderId="3" xfId="0" applyFont="1" applyBorder="1" applyAlignment="1">
      <alignment horizontal="center" wrapText="1"/>
    </xf>
    <xf numFmtId="172" fontId="42" fillId="0" borderId="0" xfId="0" applyNumberFormat="1" applyFont="1" applyFill="1" applyBorder="1"/>
    <xf numFmtId="172" fontId="42" fillId="0" borderId="0" xfId="0" applyNumberFormat="1" applyFont="1" applyBorder="1"/>
    <xf numFmtId="172" fontId="0" fillId="0" borderId="0" xfId="0" applyNumberFormat="1" applyBorder="1"/>
    <xf numFmtId="0" fontId="44" fillId="0" borderId="2" xfId="0" applyFont="1" applyBorder="1" applyAlignment="1" applyProtection="1">
      <alignment horizontal="left" vertical="top" indent="1"/>
      <protection locked="0"/>
    </xf>
    <xf numFmtId="0" fontId="42" fillId="0" borderId="2" xfId="0" applyFont="1" applyFill="1" applyBorder="1"/>
    <xf numFmtId="0" fontId="42" fillId="0" borderId="2" xfId="0" applyFont="1" applyBorder="1"/>
    <xf numFmtId="0" fontId="0" fillId="0" borderId="2" xfId="0" applyBorder="1" applyAlignment="1" applyProtection="1">
      <alignment vertical="top" wrapText="1"/>
      <protection locked="0"/>
    </xf>
    <xf numFmtId="1" fontId="0" fillId="0" borderId="2" xfId="0" applyNumberFormat="1" applyBorder="1" applyAlignment="1" applyProtection="1">
      <alignment vertical="top" wrapText="1"/>
      <protection locked="0"/>
    </xf>
    <xf numFmtId="172" fontId="42" fillId="0" borderId="0" xfId="0" applyNumberFormat="1" applyFont="1" applyFill="1" applyBorder="1" applyAlignment="1" applyProtection="1">
      <alignment vertical="top" wrapText="1"/>
      <protection locked="0"/>
    </xf>
    <xf numFmtId="10" fontId="42" fillId="0" borderId="0" xfId="0" applyNumberFormat="1" applyFont="1"/>
    <xf numFmtId="0" fontId="42" fillId="0" borderId="3" xfId="0" applyFont="1" applyBorder="1"/>
    <xf numFmtId="0" fontId="44" fillId="14" borderId="5" xfId="0" applyFont="1" applyFill="1" applyBorder="1" applyAlignment="1" applyProtection="1">
      <alignment horizontal="left" vertical="top" indent="1"/>
      <protection locked="0"/>
    </xf>
    <xf numFmtId="10" fontId="42" fillId="0" borderId="5" xfId="0" applyNumberFormat="1" applyFont="1" applyBorder="1"/>
    <xf numFmtId="10" fontId="41" fillId="0" borderId="5" xfId="2" applyNumberFormat="1" applyFont="1" applyBorder="1" applyAlignment="1" applyProtection="1">
      <alignment vertical="top" wrapText="1"/>
      <protection locked="0"/>
    </xf>
    <xf numFmtId="0" fontId="42" fillId="0" borderId="3" xfId="0" applyFont="1" applyBorder="1" applyAlignment="1">
      <alignment horizontal="center"/>
    </xf>
    <xf numFmtId="10" fontId="42" fillId="0" borderId="0" xfId="2" applyNumberFormat="1" applyFont="1" applyBorder="1" applyAlignment="1" applyProtection="1">
      <alignment vertical="top" wrapText="1"/>
      <protection locked="0"/>
    </xf>
    <xf numFmtId="10" fontId="42" fillId="10" borderId="0" xfId="2" applyNumberFormat="1" applyFont="1" applyFill="1" applyBorder="1" applyAlignment="1" applyProtection="1">
      <alignment vertical="top" wrapText="1"/>
      <protection locked="0"/>
    </xf>
    <xf numFmtId="10" fontId="42" fillId="0" borderId="0" xfId="2" applyNumberFormat="1" applyFont="1" applyFill="1" applyBorder="1" applyAlignment="1" applyProtection="1">
      <alignment vertical="top" wrapText="1"/>
      <protection locked="0"/>
    </xf>
    <xf numFmtId="0" fontId="42" fillId="0" borderId="3" xfId="0" applyFont="1" applyBorder="1" applyAlignment="1">
      <alignment wrapText="1"/>
    </xf>
    <xf numFmtId="0" fontId="44" fillId="0" borderId="0" xfId="0" applyFont="1" applyBorder="1" applyAlignment="1" applyProtection="1">
      <alignment horizontal="left" vertical="top" indent="1"/>
      <protection locked="0"/>
    </xf>
    <xf numFmtId="0" fontId="0" fillId="0" borderId="2" xfId="0" applyFill="1" applyBorder="1"/>
    <xf numFmtId="172" fontId="42" fillId="0" borderId="2" xfId="0" applyNumberFormat="1" applyFont="1" applyFill="1" applyBorder="1"/>
    <xf numFmtId="0" fontId="70" fillId="0" borderId="2" xfId="0" applyFont="1" applyFill="1" applyBorder="1" applyAlignment="1" applyProtection="1">
      <alignment horizontal="left" vertical="top" indent="1" readingOrder="1"/>
      <protection locked="0"/>
    </xf>
    <xf numFmtId="172" fontId="43" fillId="0" borderId="2" xfId="0" applyNumberFormat="1" applyFont="1" applyFill="1" applyBorder="1"/>
    <xf numFmtId="0" fontId="9" fillId="0" borderId="0" xfId="0" applyFont="1" applyFill="1"/>
    <xf numFmtId="0" fontId="9" fillId="0" borderId="0" xfId="0" applyFont="1" applyFill="1" applyBorder="1"/>
    <xf numFmtId="0" fontId="48" fillId="0" borderId="0" xfId="0" applyFont="1" applyBorder="1"/>
    <xf numFmtId="0" fontId="44" fillId="0" borderId="0" xfId="0" applyFont="1" applyFill="1" applyBorder="1" applyAlignment="1" applyProtection="1">
      <alignment horizontal="center" vertical="top" wrapText="1"/>
      <protection locked="0"/>
    </xf>
    <xf numFmtId="0" fontId="0" fillId="3" borderId="0" xfId="0" applyFill="1" applyBorder="1" applyAlignment="1" applyProtection="1">
      <alignment vertical="top" wrapText="1"/>
      <protection locked="0"/>
    </xf>
    <xf numFmtId="0" fontId="76" fillId="17" borderId="33" xfId="0" applyFont="1" applyFill="1" applyBorder="1" applyAlignment="1" applyProtection="1">
      <alignment horizontal="left" vertical="top"/>
      <protection locked="0"/>
    </xf>
    <xf numFmtId="0" fontId="48" fillId="0" borderId="2" xfId="0" applyFont="1" applyBorder="1"/>
    <xf numFmtId="0" fontId="0" fillId="0" borderId="29" xfId="0" applyBorder="1"/>
    <xf numFmtId="9" fontId="42" fillId="0" borderId="0" xfId="0" applyNumberFormat="1" applyFont="1" applyBorder="1"/>
    <xf numFmtId="0" fontId="42" fillId="0" borderId="19" xfId="0" applyFont="1" applyBorder="1" applyProtection="1">
      <protection locked="0"/>
    </xf>
    <xf numFmtId="0" fontId="42" fillId="0" borderId="25" xfId="0" applyFont="1" applyBorder="1" applyProtection="1">
      <protection locked="0"/>
    </xf>
    <xf numFmtId="0" fontId="42" fillId="0" borderId="25" xfId="0" applyFont="1" applyBorder="1" applyAlignment="1" applyProtection="1">
      <alignment horizontal="center"/>
      <protection locked="0"/>
    </xf>
    <xf numFmtId="0" fontId="42" fillId="0" borderId="20" xfId="0" applyFont="1" applyFill="1" applyBorder="1" applyAlignment="1" applyProtection="1">
      <alignment horizontal="center"/>
      <protection locked="0"/>
    </xf>
    <xf numFmtId="165" fontId="42" fillId="0" borderId="27" xfId="0" applyNumberFormat="1" applyFont="1" applyBorder="1"/>
    <xf numFmtId="172" fontId="42" fillId="3" borderId="0" xfId="0" applyNumberFormat="1" applyFont="1" applyFill="1" applyBorder="1" applyAlignment="1" applyProtection="1">
      <alignment vertical="top" wrapText="1"/>
      <protection locked="0"/>
    </xf>
    <xf numFmtId="0" fontId="42" fillId="0" borderId="2" xfId="0" applyFont="1" applyBorder="1" applyAlignment="1" applyProtection="1">
      <alignment horizontal="left" vertical="top" wrapText="1" indent="1"/>
      <protection locked="0"/>
    </xf>
    <xf numFmtId="172" fontId="42" fillId="0" borderId="2" xfId="0" applyNumberFormat="1" applyFont="1" applyFill="1" applyBorder="1" applyAlignment="1" applyProtection="1">
      <alignment vertical="top" wrapText="1"/>
      <protection locked="0"/>
    </xf>
    <xf numFmtId="0" fontId="44" fillId="17" borderId="37" xfId="0" applyFont="1" applyFill="1" applyBorder="1" applyAlignment="1" applyProtection="1">
      <alignment horizontal="left" vertical="top"/>
      <protection locked="0"/>
    </xf>
    <xf numFmtId="0" fontId="43" fillId="10" borderId="3" xfId="0" applyFont="1" applyFill="1" applyBorder="1"/>
    <xf numFmtId="172" fontId="43" fillId="0" borderId="3" xfId="0" applyNumberFormat="1" applyFont="1" applyFill="1" applyBorder="1" applyAlignment="1" applyProtection="1">
      <alignment vertical="top" wrapText="1"/>
      <protection locked="0"/>
    </xf>
    <xf numFmtId="0" fontId="41" fillId="0" borderId="0" xfId="0" applyFont="1" applyBorder="1" applyAlignment="1" applyProtection="1">
      <alignment horizontal="left" vertical="center"/>
      <protection locked="0"/>
    </xf>
    <xf numFmtId="0" fontId="24" fillId="0" borderId="0" xfId="0" applyFont="1" applyAlignment="1">
      <alignment horizontal="left"/>
    </xf>
    <xf numFmtId="0" fontId="71" fillId="31" borderId="0" xfId="0" applyFont="1" applyFill="1" applyBorder="1" applyAlignment="1" applyProtection="1">
      <alignment horizontal="center" vertical="top" wrapText="1" readingOrder="1"/>
      <protection locked="0"/>
    </xf>
    <xf numFmtId="0" fontId="42" fillId="10" borderId="0" xfId="0" applyFont="1" applyFill="1" applyAlignment="1">
      <alignment vertical="center" textRotation="90"/>
    </xf>
    <xf numFmtId="0" fontId="71" fillId="31" borderId="38" xfId="0" applyFont="1" applyFill="1" applyBorder="1" applyAlignment="1" applyProtection="1">
      <alignment horizontal="center" vertical="top" wrapText="1" readingOrder="1"/>
      <protection locked="0"/>
    </xf>
    <xf numFmtId="0" fontId="24" fillId="0" borderId="4" xfId="0" applyFont="1" applyBorder="1"/>
    <xf numFmtId="172" fontId="0" fillId="0" borderId="4" xfId="0" applyNumberFormat="1" applyBorder="1"/>
    <xf numFmtId="0" fontId="24" fillId="0" borderId="0" xfId="0" applyFont="1" applyBorder="1"/>
    <xf numFmtId="0" fontId="0" fillId="0" borderId="0" xfId="0" applyBorder="1" applyAlignment="1">
      <alignment horizontal="left" indent="1"/>
    </xf>
    <xf numFmtId="0" fontId="0" fillId="0" borderId="2" xfId="0" applyBorder="1" applyAlignment="1">
      <alignment horizontal="left" indent="1"/>
    </xf>
    <xf numFmtId="172" fontId="0" fillId="0" borderId="2" xfId="0" applyNumberFormat="1" applyBorder="1"/>
    <xf numFmtId="0" fontId="24" fillId="0" borderId="4" xfId="0" applyFont="1" applyBorder="1" applyAlignment="1">
      <alignment horizontal="left"/>
    </xf>
    <xf numFmtId="172" fontId="42" fillId="0" borderId="4" xfId="0" applyNumberFormat="1" applyFont="1" applyBorder="1"/>
    <xf numFmtId="172" fontId="42" fillId="0" borderId="2" xfId="0" applyNumberFormat="1" applyFont="1" applyBorder="1"/>
    <xf numFmtId="0" fontId="42" fillId="0" borderId="0" xfId="0" applyFont="1" applyAlignment="1">
      <alignment horizontal="center" wrapText="1"/>
    </xf>
    <xf numFmtId="0" fontId="42" fillId="0" borderId="0" xfId="0" applyFont="1" applyAlignment="1">
      <alignment horizontal="center" vertical="center" wrapText="1"/>
    </xf>
    <xf numFmtId="0" fontId="0" fillId="10" borderId="4" xfId="0" applyFill="1" applyBorder="1"/>
    <xf numFmtId="0" fontId="0" fillId="10" borderId="0" xfId="0" applyFill="1" applyBorder="1"/>
    <xf numFmtId="0" fontId="42" fillId="10" borderId="0" xfId="0" applyFont="1" applyFill="1" applyBorder="1"/>
    <xf numFmtId="0" fontId="0" fillId="10" borderId="2" xfId="0" applyFill="1" applyBorder="1"/>
    <xf numFmtId="0" fontId="75" fillId="10" borderId="0" xfId="0" applyFont="1" applyFill="1"/>
    <xf numFmtId="172" fontId="42" fillId="10" borderId="0" xfId="0" applyNumberFormat="1" applyFont="1" applyFill="1"/>
    <xf numFmtId="0" fontId="42" fillId="10" borderId="0" xfId="0" applyFont="1" applyFill="1"/>
    <xf numFmtId="0" fontId="75" fillId="10" borderId="0" xfId="0" applyFont="1" applyFill="1" applyBorder="1"/>
    <xf numFmtId="172" fontId="42" fillId="10" borderId="4" xfId="0" applyNumberFormat="1" applyFont="1" applyFill="1" applyBorder="1"/>
    <xf numFmtId="172" fontId="42" fillId="10" borderId="0" xfId="0" applyNumberFormat="1" applyFont="1" applyFill="1" applyBorder="1"/>
    <xf numFmtId="172" fontId="42" fillId="10" borderId="2" xfId="0" applyNumberFormat="1" applyFont="1" applyFill="1" applyBorder="1"/>
    <xf numFmtId="172" fontId="0" fillId="10" borderId="0" xfId="0" applyNumberFormat="1" applyFill="1"/>
    <xf numFmtId="0" fontId="75" fillId="10" borderId="4" xfId="0" applyFont="1" applyFill="1" applyBorder="1"/>
    <xf numFmtId="172" fontId="0" fillId="10" borderId="4" xfId="0" applyNumberFormat="1" applyFill="1" applyBorder="1"/>
    <xf numFmtId="172" fontId="0" fillId="10" borderId="0" xfId="0" applyNumberFormat="1" applyFill="1" applyBorder="1"/>
    <xf numFmtId="0" fontId="75" fillId="10" borderId="2" xfId="0" applyFont="1" applyFill="1" applyBorder="1"/>
    <xf numFmtId="172" fontId="0" fillId="10" borderId="2" xfId="0" applyNumberFormat="1" applyFill="1" applyBorder="1"/>
    <xf numFmtId="0" fontId="42" fillId="0" borderId="26" xfId="0" applyFont="1" applyBorder="1"/>
    <xf numFmtId="0" fontId="42" fillId="0" borderId="21" xfId="0" applyFont="1" applyBorder="1"/>
    <xf numFmtId="9" fontId="42" fillId="0" borderId="22" xfId="2" applyFont="1" applyBorder="1"/>
    <xf numFmtId="0" fontId="42" fillId="0" borderId="23" xfId="0" applyFont="1" applyBorder="1"/>
    <xf numFmtId="0" fontId="0" fillId="0" borderId="24" xfId="0" applyBorder="1"/>
    <xf numFmtId="9" fontId="42" fillId="4" borderId="27" xfId="2" applyFont="1" applyFill="1" applyBorder="1"/>
    <xf numFmtId="172" fontId="0" fillId="0" borderId="11" xfId="0" applyNumberFormat="1" applyBorder="1"/>
    <xf numFmtId="0" fontId="0" fillId="0" borderId="12" xfId="0" applyBorder="1"/>
    <xf numFmtId="0" fontId="0" fillId="0" borderId="13" xfId="0" applyBorder="1"/>
    <xf numFmtId="0" fontId="43" fillId="0" borderId="19" xfId="0" applyFont="1" applyBorder="1"/>
    <xf numFmtId="0" fontId="42" fillId="0" borderId="26" xfId="0" applyFont="1" applyBorder="1" applyAlignment="1">
      <alignment horizontal="left" indent="1"/>
    </xf>
    <xf numFmtId="0" fontId="42" fillId="0" borderId="21" xfId="0" applyFont="1" applyBorder="1" applyAlignment="1">
      <alignment horizontal="left" indent="1"/>
    </xf>
    <xf numFmtId="0" fontId="42" fillId="0" borderId="3" xfId="0" applyFont="1" applyBorder="1" applyAlignment="1">
      <alignment horizontal="center" vertical="center" wrapText="1"/>
    </xf>
    <xf numFmtId="37" fontId="24" fillId="18" borderId="0" xfId="0" applyNumberFormat="1" applyFont="1" applyFill="1" applyBorder="1" applyAlignment="1">
      <alignment horizontal="center" vertical="center"/>
    </xf>
    <xf numFmtId="3" fontId="50" fillId="0" borderId="0" xfId="0" applyNumberFormat="1" applyFont="1"/>
    <xf numFmtId="0" fontId="50" fillId="0" borderId="19" xfId="0" applyFont="1" applyBorder="1"/>
    <xf numFmtId="0" fontId="50" fillId="0" borderId="26" xfId="0" applyFont="1" applyBorder="1"/>
    <xf numFmtId="0" fontId="50" fillId="0" borderId="21" xfId="0" applyFont="1" applyBorder="1"/>
    <xf numFmtId="164" fontId="23" fillId="23" borderId="0" xfId="1" applyNumberFormat="1" applyFont="1" applyFill="1"/>
    <xf numFmtId="0" fontId="0" fillId="23" borderId="0" xfId="0" applyFill="1"/>
    <xf numFmtId="172" fontId="42" fillId="23" borderId="0" xfId="0" applyNumberFormat="1" applyFont="1" applyFill="1" applyBorder="1" applyAlignment="1" applyProtection="1">
      <alignment vertical="top" wrapText="1"/>
      <protection locked="0"/>
    </xf>
    <xf numFmtId="0" fontId="44" fillId="0" borderId="39" xfId="0" applyFont="1" applyBorder="1" applyAlignment="1" applyProtection="1">
      <alignment horizontal="left" vertical="top" indent="1"/>
      <protection locked="0"/>
    </xf>
    <xf numFmtId="172" fontId="42" fillId="0" borderId="3" xfId="0" applyNumberFormat="1" applyFont="1" applyBorder="1"/>
    <xf numFmtId="0" fontId="42" fillId="0" borderId="2" xfId="0" applyFont="1" applyBorder="1" applyAlignment="1">
      <alignment horizontal="center" vertical="center" wrapText="1"/>
    </xf>
    <xf numFmtId="0" fontId="42" fillId="0" borderId="11" xfId="0" applyFont="1" applyBorder="1"/>
    <xf numFmtId="0" fontId="42" fillId="0" borderId="17" xfId="0" applyFont="1" applyBorder="1"/>
    <xf numFmtId="0" fontId="42" fillId="0" borderId="4" xfId="0" applyFont="1" applyBorder="1"/>
    <xf numFmtId="172" fontId="42" fillId="0" borderId="12" xfId="0" applyNumberFormat="1" applyFont="1" applyFill="1" applyBorder="1" applyAlignment="1" applyProtection="1">
      <alignment vertical="top" wrapText="1"/>
      <protection locked="0"/>
    </xf>
    <xf numFmtId="0" fontId="42" fillId="0" borderId="16" xfId="0" applyFont="1" applyBorder="1"/>
    <xf numFmtId="172" fontId="42" fillId="0" borderId="17" xfId="0" applyNumberFormat="1" applyFont="1" applyFill="1" applyBorder="1" applyAlignment="1" applyProtection="1">
      <alignment vertical="top" wrapText="1"/>
      <protection locked="0"/>
    </xf>
    <xf numFmtId="6" fontId="42" fillId="0" borderId="17" xfId="0" applyNumberFormat="1" applyFont="1" applyBorder="1"/>
    <xf numFmtId="9" fontId="42" fillId="0" borderId="17" xfId="0" applyNumberFormat="1" applyFont="1" applyBorder="1"/>
    <xf numFmtId="165" fontId="42" fillId="0" borderId="17" xfId="2" applyNumberFormat="1" applyFont="1" applyBorder="1"/>
    <xf numFmtId="0" fontId="42" fillId="0" borderId="13" xfId="0" applyFont="1" applyBorder="1"/>
    <xf numFmtId="165" fontId="42" fillId="0" borderId="14" xfId="2" applyNumberFormat="1" applyFont="1" applyBorder="1"/>
    <xf numFmtId="164" fontId="23" fillId="34" borderId="3" xfId="144" applyNumberFormat="1" applyFont="1" applyFill="1" applyBorder="1"/>
    <xf numFmtId="164" fontId="47" fillId="34" borderId="3" xfId="0" applyNumberFormat="1" applyFont="1" applyFill="1" applyBorder="1"/>
    <xf numFmtId="164" fontId="77" fillId="0" borderId="0" xfId="0" applyNumberFormat="1" applyFont="1"/>
    <xf numFmtId="0" fontId="67" fillId="0" borderId="2" xfId="0" applyFont="1" applyFill="1" applyBorder="1" applyAlignment="1">
      <alignment horizontal="center" vertical="center" wrapText="1"/>
    </xf>
    <xf numFmtId="164" fontId="5" fillId="0" borderId="2" xfId="0" applyNumberFormat="1" applyFont="1" applyBorder="1"/>
    <xf numFmtId="165" fontId="42" fillId="0" borderId="0" xfId="0" applyNumberFormat="1" applyFont="1"/>
    <xf numFmtId="164" fontId="42" fillId="0" borderId="0" xfId="0" applyNumberFormat="1" applyFont="1" applyFill="1"/>
    <xf numFmtId="165" fontId="42" fillId="0" borderId="0" xfId="0" applyNumberFormat="1" applyFont="1" applyFill="1"/>
    <xf numFmtId="0" fontId="42" fillId="0" borderId="1" xfId="0" applyFont="1" applyBorder="1" applyAlignment="1">
      <alignment horizontal="right"/>
    </xf>
    <xf numFmtId="0" fontId="43" fillId="0" borderId="3" xfId="0" applyFont="1" applyFill="1" applyBorder="1"/>
    <xf numFmtId="0" fontId="43" fillId="0" borderId="3" xfId="0" applyFont="1" applyBorder="1"/>
    <xf numFmtId="164" fontId="43" fillId="0" borderId="3" xfId="0" applyNumberFormat="1" applyFont="1" applyFill="1" applyBorder="1"/>
    <xf numFmtId="164" fontId="5" fillId="0" borderId="2" xfId="0" applyNumberFormat="1" applyFont="1" applyFill="1" applyBorder="1"/>
    <xf numFmtId="37" fontId="24" fillId="20" borderId="0" xfId="0" applyNumberFormat="1" applyFont="1" applyFill="1" applyBorder="1" applyAlignment="1">
      <alignment vertical="center"/>
    </xf>
    <xf numFmtId="0" fontId="30" fillId="0" borderId="0" xfId="0" applyFont="1"/>
    <xf numFmtId="164" fontId="23" fillId="29" borderId="0" xfId="1" applyNumberFormat="1" applyFont="1" applyFill="1" applyBorder="1"/>
    <xf numFmtId="164" fontId="47" fillId="29" borderId="0" xfId="0" applyNumberFormat="1" applyFont="1" applyFill="1" applyBorder="1"/>
    <xf numFmtId="0" fontId="68" fillId="0" borderId="0" xfId="0" applyFont="1" applyFill="1"/>
    <xf numFmtId="0" fontId="23" fillId="0" borderId="2" xfId="0" applyFont="1" applyFill="1" applyBorder="1" applyAlignment="1">
      <alignment horizontal="center" vertical="center" wrapText="1"/>
    </xf>
    <xf numFmtId="166" fontId="0" fillId="0" borderId="0" xfId="0" applyNumberFormat="1" applyFont="1"/>
    <xf numFmtId="0" fontId="43" fillId="3" borderId="0" xfId="0" applyFont="1" applyFill="1"/>
    <xf numFmtId="172" fontId="75" fillId="0" borderId="0" xfId="0" applyNumberFormat="1" applyFont="1" applyBorder="1" applyAlignment="1" applyProtection="1">
      <alignment vertical="top" wrapText="1"/>
      <protection locked="0"/>
    </xf>
    <xf numFmtId="172" fontId="75" fillId="10" borderId="0" xfId="0" applyNumberFormat="1" applyFont="1" applyFill="1" applyBorder="1" applyAlignment="1" applyProtection="1">
      <alignment vertical="top" wrapText="1"/>
      <protection locked="0"/>
    </xf>
    <xf numFmtId="0" fontId="75" fillId="0" borderId="0" xfId="0" applyFont="1" applyBorder="1" applyAlignment="1" applyProtection="1">
      <alignment vertical="top" wrapText="1"/>
      <protection locked="0"/>
    </xf>
    <xf numFmtId="2" fontId="42" fillId="4" borderId="27" xfId="0" applyNumberFormat="1" applyFont="1" applyFill="1" applyBorder="1"/>
    <xf numFmtId="0" fontId="49" fillId="15" borderId="0" xfId="0" applyFont="1" applyFill="1"/>
    <xf numFmtId="164" fontId="49" fillId="15" borderId="0" xfId="1" applyNumberFormat="1" applyFont="1" applyFill="1"/>
    <xf numFmtId="164" fontId="23" fillId="34" borderId="0" xfId="1" applyNumberFormat="1" applyFont="1" applyFill="1"/>
    <xf numFmtId="0" fontId="47" fillId="34" borderId="0" xfId="0" applyFont="1" applyFill="1"/>
    <xf numFmtId="0" fontId="24" fillId="0" borderId="3" xfId="0" applyFont="1" applyBorder="1" applyAlignment="1">
      <alignment wrapText="1"/>
    </xf>
    <xf numFmtId="164" fontId="0" fillId="0" borderId="0" xfId="0" applyNumberFormat="1" applyProtection="1">
      <protection locked="0"/>
    </xf>
    <xf numFmtId="0" fontId="79" fillId="0" borderId="0" xfId="0" applyFont="1" applyFill="1"/>
    <xf numFmtId="0" fontId="81" fillId="0" borderId="0" xfId="0" applyFont="1" applyFill="1"/>
    <xf numFmtId="6" fontId="3" fillId="0" borderId="0" xfId="0" applyNumberFormat="1" applyFont="1"/>
    <xf numFmtId="0" fontId="82" fillId="24" borderId="40" xfId="0" applyFont="1" applyFill="1" applyBorder="1" applyAlignment="1"/>
    <xf numFmtId="3" fontId="82" fillId="24" borderId="40" xfId="0" applyNumberFormat="1" applyFont="1" applyFill="1" applyBorder="1" applyAlignment="1">
      <alignment horizontal="center"/>
    </xf>
    <xf numFmtId="165" fontId="83" fillId="24" borderId="40" xfId="0" applyNumberFormat="1" applyFont="1" applyFill="1" applyBorder="1" applyAlignment="1"/>
    <xf numFmtId="0" fontId="82" fillId="24" borderId="32" xfId="0" applyFont="1" applyFill="1" applyBorder="1" applyAlignment="1"/>
    <xf numFmtId="3" fontId="82" fillId="24" borderId="26" xfId="0" applyNumberFormat="1" applyFont="1" applyFill="1" applyBorder="1" applyAlignment="1">
      <alignment horizontal="center"/>
    </xf>
    <xf numFmtId="3" fontId="82" fillId="24" borderId="27" xfId="0" applyNumberFormat="1" applyFont="1" applyFill="1" applyBorder="1" applyAlignment="1">
      <alignment horizontal="center"/>
    </xf>
    <xf numFmtId="3" fontId="82" fillId="24" borderId="32" xfId="0" applyNumberFormat="1" applyFont="1" applyFill="1" applyBorder="1" applyAlignment="1">
      <alignment horizontal="center"/>
    </xf>
    <xf numFmtId="165" fontId="83" fillId="24" borderId="32" xfId="0" applyNumberFormat="1" applyFont="1" applyFill="1" applyBorder="1" applyAlignment="1"/>
    <xf numFmtId="0" fontId="84" fillId="9" borderId="7" xfId="0" applyFont="1" applyFill="1" applyBorder="1" applyAlignment="1"/>
    <xf numFmtId="0" fontId="84" fillId="9" borderId="3" xfId="0" applyFont="1" applyFill="1" applyBorder="1" applyAlignment="1"/>
    <xf numFmtId="3" fontId="85" fillId="9" borderId="9" xfId="0" applyNumberFormat="1" applyFont="1" applyFill="1" applyBorder="1" applyAlignment="1"/>
    <xf numFmtId="165" fontId="7" fillId="9" borderId="9" xfId="2" applyNumberFormat="1" applyFont="1" applyFill="1" applyBorder="1" applyAlignment="1"/>
    <xf numFmtId="3" fontId="84" fillId="9" borderId="7" xfId="0" applyNumberFormat="1" applyFont="1" applyFill="1" applyBorder="1" applyAlignment="1"/>
    <xf numFmtId="164" fontId="84" fillId="9" borderId="42" xfId="1" applyNumberFormat="1" applyFont="1" applyFill="1" applyBorder="1" applyAlignment="1"/>
    <xf numFmtId="0" fontId="86" fillId="35" borderId="0" xfId="0" applyFont="1" applyFill="1" applyBorder="1" applyAlignment="1"/>
    <xf numFmtId="3" fontId="70" fillId="35" borderId="0" xfId="0" applyNumberFormat="1" applyFont="1" applyFill="1" applyBorder="1" applyAlignment="1"/>
    <xf numFmtId="3" fontId="72" fillId="35" borderId="0" xfId="0" applyNumberFormat="1" applyFont="1" applyFill="1" applyBorder="1" applyAlignment="1"/>
    <xf numFmtId="164" fontId="72" fillId="35" borderId="0" xfId="1" applyNumberFormat="1" applyFont="1" applyFill="1" applyBorder="1" applyAlignment="1"/>
    <xf numFmtId="165" fontId="87" fillId="35" borderId="0" xfId="2" applyNumberFormat="1" applyFont="1" applyFill="1" applyBorder="1" applyAlignment="1"/>
    <xf numFmtId="3" fontId="88" fillId="35" borderId="0" xfId="0" applyNumberFormat="1" applyFont="1" applyFill="1" applyBorder="1" applyAlignment="1"/>
    <xf numFmtId="1" fontId="67" fillId="35" borderId="0" xfId="0" applyNumberFormat="1" applyFont="1" applyFill="1" applyBorder="1" applyAlignment="1"/>
    <xf numFmtId="0" fontId="84" fillId="36" borderId="7" xfId="0" applyFont="1" applyFill="1" applyBorder="1" applyAlignment="1"/>
    <xf numFmtId="0" fontId="84" fillId="36" borderId="3" xfId="0" applyFont="1" applyFill="1" applyBorder="1" applyAlignment="1"/>
    <xf numFmtId="0" fontId="84" fillId="36" borderId="9" xfId="0" applyFont="1" applyFill="1" applyBorder="1" applyAlignment="1"/>
    <xf numFmtId="3" fontId="84" fillId="0" borderId="9" xfId="0" applyNumberFormat="1" applyFont="1" applyFill="1" applyBorder="1" applyAlignment="1"/>
    <xf numFmtId="3" fontId="85" fillId="0" borderId="9" xfId="0" applyNumberFormat="1" applyFont="1" applyFill="1" applyBorder="1" applyAlignment="1"/>
    <xf numFmtId="3" fontId="84" fillId="0" borderId="8" xfId="0" applyNumberFormat="1" applyFont="1" applyFill="1" applyBorder="1" applyAlignment="1"/>
    <xf numFmtId="3" fontId="0" fillId="0" borderId="9" xfId="0" applyNumberFormat="1" applyFont="1" applyFill="1" applyBorder="1"/>
    <xf numFmtId="3" fontId="84" fillId="36" borderId="8" xfId="0" applyNumberFormat="1" applyFont="1" applyFill="1" applyBorder="1" applyAlignment="1"/>
    <xf numFmtId="3" fontId="84" fillId="36" borderId="3" xfId="0" applyNumberFormat="1" applyFont="1" applyFill="1" applyBorder="1" applyAlignment="1"/>
    <xf numFmtId="165" fontId="7" fillId="36" borderId="9" xfId="2" applyNumberFormat="1" applyFont="1" applyFill="1" applyBorder="1" applyAlignment="1"/>
    <xf numFmtId="3" fontId="84" fillId="0" borderId="9" xfId="2" applyNumberFormat="1" applyFont="1" applyFill="1" applyBorder="1" applyAlignment="1"/>
    <xf numFmtId="3" fontId="84" fillId="0" borderId="7" xfId="0" applyNumberFormat="1" applyFont="1" applyFill="1" applyBorder="1" applyAlignment="1"/>
    <xf numFmtId="0" fontId="84" fillId="37" borderId="7" xfId="0" applyFont="1" applyFill="1" applyBorder="1" applyAlignment="1"/>
    <xf numFmtId="0" fontId="84" fillId="37" borderId="3" xfId="0" applyFont="1" applyFill="1" applyBorder="1" applyAlignment="1"/>
    <xf numFmtId="0" fontId="84" fillId="37" borderId="9" xfId="0" applyFont="1" applyFill="1" applyBorder="1" applyAlignment="1"/>
    <xf numFmtId="3" fontId="72" fillId="37" borderId="9" xfId="0" applyNumberFormat="1" applyFont="1" applyFill="1" applyBorder="1" applyAlignment="1"/>
    <xf numFmtId="165" fontId="72" fillId="37" borderId="9" xfId="2" applyNumberFormat="1" applyFont="1" applyFill="1" applyBorder="1" applyAlignment="1"/>
    <xf numFmtId="3" fontId="72" fillId="37" borderId="9" xfId="2" applyNumberFormat="1" applyFont="1" applyFill="1" applyBorder="1" applyAlignment="1"/>
    <xf numFmtId="3" fontId="88" fillId="37" borderId="9" xfId="0" applyNumberFormat="1" applyFont="1" applyFill="1" applyBorder="1" applyAlignment="1"/>
    <xf numFmtId="3" fontId="72" fillId="37" borderId="42" xfId="0" applyNumberFormat="1" applyFont="1" applyFill="1" applyBorder="1" applyAlignment="1"/>
    <xf numFmtId="0" fontId="84" fillId="29" borderId="7" xfId="0" applyFont="1" applyFill="1" applyBorder="1" applyAlignment="1"/>
    <xf numFmtId="0" fontId="84" fillId="29" borderId="3" xfId="0" applyFont="1" applyFill="1" applyBorder="1" applyAlignment="1"/>
    <xf numFmtId="0" fontId="84" fillId="29" borderId="9" xfId="0" applyFont="1" applyFill="1" applyBorder="1" applyAlignment="1"/>
    <xf numFmtId="3" fontId="84" fillId="29" borderId="9" xfId="0" applyNumberFormat="1" applyFont="1" applyFill="1" applyBorder="1" applyAlignment="1"/>
    <xf numFmtId="10" fontId="7" fillId="29" borderId="9" xfId="0" applyNumberFormat="1" applyFont="1" applyFill="1" applyBorder="1" applyAlignment="1"/>
    <xf numFmtId="3" fontId="84" fillId="29" borderId="42" xfId="0" applyNumberFormat="1" applyFont="1" applyFill="1" applyBorder="1" applyAlignment="1"/>
    <xf numFmtId="0" fontId="84" fillId="19" borderId="7" xfId="0" applyFont="1" applyFill="1" applyBorder="1" applyAlignment="1"/>
    <xf numFmtId="0" fontId="84" fillId="19" borderId="3" xfId="0" applyFont="1" applyFill="1" applyBorder="1" applyAlignment="1"/>
    <xf numFmtId="3" fontId="84" fillId="19" borderId="9" xfId="0" applyNumberFormat="1" applyFont="1" applyFill="1" applyBorder="1" applyAlignment="1"/>
    <xf numFmtId="165" fontId="7" fillId="19" borderId="9" xfId="2" applyNumberFormat="1" applyFont="1" applyFill="1" applyBorder="1" applyAlignment="1"/>
    <xf numFmtId="3" fontId="84" fillId="19" borderId="42" xfId="0" applyNumberFormat="1" applyFont="1" applyFill="1" applyBorder="1" applyAlignment="1"/>
    <xf numFmtId="0" fontId="75" fillId="0" borderId="0" xfId="0" applyFont="1" applyAlignment="1"/>
    <xf numFmtId="0" fontId="42" fillId="0" borderId="0" xfId="0" applyFont="1" applyAlignment="1"/>
    <xf numFmtId="0" fontId="84" fillId="38" borderId="7" xfId="0" applyFont="1" applyFill="1" applyBorder="1" applyAlignment="1"/>
    <xf numFmtId="0" fontId="84" fillId="38" borderId="3" xfId="0" applyFont="1" applyFill="1" applyBorder="1" applyAlignment="1"/>
    <xf numFmtId="0" fontId="84" fillId="38" borderId="9" xfId="0" applyFont="1" applyFill="1" applyBorder="1" applyAlignment="1"/>
    <xf numFmtId="3" fontId="84" fillId="38" borderId="7" xfId="0" applyNumberFormat="1" applyFont="1" applyFill="1" applyBorder="1" applyAlignment="1"/>
    <xf numFmtId="165" fontId="7" fillId="38" borderId="18" xfId="2" applyNumberFormat="1" applyFont="1" applyFill="1" applyBorder="1" applyAlignment="1"/>
    <xf numFmtId="3" fontId="84" fillId="38" borderId="42" xfId="0" applyNumberFormat="1" applyFont="1" applyFill="1" applyBorder="1" applyAlignment="1"/>
    <xf numFmtId="0" fontId="89" fillId="0" borderId="0" xfId="0" applyFont="1" applyFill="1" applyBorder="1" applyAlignment="1"/>
    <xf numFmtId="3" fontId="86" fillId="0" borderId="4" xfId="0" applyNumberFormat="1" applyFont="1" applyFill="1" applyBorder="1" applyAlignment="1"/>
    <xf numFmtId="165" fontId="90" fillId="0" borderId="4" xfId="2" applyNumberFormat="1" applyFont="1" applyFill="1" applyBorder="1" applyAlignment="1"/>
    <xf numFmtId="0" fontId="84" fillId="39" borderId="13" xfId="0" applyFont="1" applyFill="1" applyBorder="1" applyAlignment="1"/>
    <xf numFmtId="0" fontId="84" fillId="39" borderId="2" xfId="0" applyFont="1" applyFill="1" applyBorder="1" applyAlignment="1"/>
    <xf numFmtId="0" fontId="84" fillId="39" borderId="7" xfId="0" applyFont="1" applyFill="1" applyBorder="1" applyAlignment="1"/>
    <xf numFmtId="3" fontId="88" fillId="39" borderId="9" xfId="0" applyNumberFormat="1" applyFont="1" applyFill="1" applyBorder="1" applyAlignment="1"/>
    <xf numFmtId="3" fontId="85" fillId="39" borderId="9" xfId="0" applyNumberFormat="1" applyFont="1" applyFill="1" applyBorder="1" applyAlignment="1"/>
    <xf numFmtId="165" fontId="84" fillId="39" borderId="9" xfId="2" applyNumberFormat="1" applyFont="1" applyFill="1" applyBorder="1" applyAlignment="1"/>
    <xf numFmtId="3" fontId="85" fillId="39" borderId="42" xfId="0" applyNumberFormat="1" applyFont="1" applyFill="1" applyBorder="1" applyAlignment="1"/>
    <xf numFmtId="0" fontId="84" fillId="22" borderId="7" xfId="0" applyFont="1" applyFill="1" applyBorder="1" applyAlignment="1"/>
    <xf numFmtId="0" fontId="84" fillId="22" borderId="3" xfId="0" applyFont="1" applyFill="1" applyBorder="1" applyAlignment="1"/>
    <xf numFmtId="0" fontId="84" fillId="22" borderId="9" xfId="0" applyFont="1" applyFill="1" applyBorder="1" applyAlignment="1"/>
    <xf numFmtId="3" fontId="84" fillId="22" borderId="18" xfId="0" applyNumberFormat="1" applyFont="1" applyFill="1" applyBorder="1" applyAlignment="1"/>
    <xf numFmtId="165" fontId="7" fillId="22" borderId="9" xfId="2" applyNumberFormat="1" applyFont="1" applyFill="1" applyBorder="1" applyAlignment="1"/>
    <xf numFmtId="0" fontId="84" fillId="40" borderId="7" xfId="0" applyFont="1" applyFill="1" applyBorder="1" applyAlignment="1"/>
    <xf numFmtId="0" fontId="84" fillId="40" borderId="3" xfId="0" applyFont="1" applyFill="1" applyBorder="1" applyAlignment="1"/>
    <xf numFmtId="0" fontId="84" fillId="40" borderId="9" xfId="0" applyFont="1" applyFill="1" applyBorder="1" applyAlignment="1"/>
    <xf numFmtId="3" fontId="84" fillId="40" borderId="8" xfId="0" applyNumberFormat="1" applyFont="1" applyFill="1" applyBorder="1" applyAlignment="1"/>
    <xf numFmtId="3" fontId="84" fillId="40" borderId="3" xfId="0" applyNumberFormat="1" applyFont="1" applyFill="1" applyBorder="1" applyAlignment="1"/>
    <xf numFmtId="165" fontId="7" fillId="40" borderId="9" xfId="2" applyNumberFormat="1" applyFont="1" applyFill="1" applyBorder="1" applyAlignment="1"/>
    <xf numFmtId="0" fontId="11" fillId="21" borderId="7" xfId="0" applyFont="1" applyFill="1" applyBorder="1" applyAlignment="1"/>
    <xf numFmtId="0" fontId="11" fillId="21" borderId="3" xfId="0" applyFont="1" applyFill="1" applyBorder="1" applyAlignment="1"/>
    <xf numFmtId="0" fontId="84" fillId="21" borderId="9" xfId="0" applyFont="1" applyFill="1" applyBorder="1" applyAlignment="1">
      <alignment horizontal="left"/>
    </xf>
    <xf numFmtId="3" fontId="86" fillId="21" borderId="7" xfId="0" applyNumberFormat="1" applyFont="1" applyFill="1" applyBorder="1" applyAlignment="1"/>
    <xf numFmtId="3" fontId="84" fillId="21" borderId="7" xfId="0" applyNumberFormat="1" applyFont="1" applyFill="1" applyBorder="1" applyAlignment="1"/>
    <xf numFmtId="165" fontId="84" fillId="21" borderId="7" xfId="2" applyNumberFormat="1" applyFont="1" applyFill="1" applyBorder="1" applyAlignment="1"/>
    <xf numFmtId="3" fontId="84" fillId="21" borderId="3" xfId="0" applyNumberFormat="1" applyFont="1" applyFill="1" applyBorder="1" applyAlignment="1"/>
    <xf numFmtId="0" fontId="84" fillId="41" borderId="7" xfId="0" applyFont="1" applyFill="1" applyBorder="1" applyAlignment="1"/>
    <xf numFmtId="0" fontId="84" fillId="41" borderId="3" xfId="0" applyFont="1" applyFill="1" applyBorder="1" applyAlignment="1"/>
    <xf numFmtId="0" fontId="84" fillId="41" borderId="9" xfId="0" applyFont="1" applyFill="1" applyBorder="1" applyAlignment="1"/>
    <xf numFmtId="3" fontId="86" fillId="0" borderId="9" xfId="0" applyNumberFormat="1" applyFont="1" applyFill="1" applyBorder="1" applyAlignment="1"/>
    <xf numFmtId="3" fontId="88" fillId="0" borderId="9" xfId="0" applyNumberFormat="1" applyFont="1" applyFill="1" applyBorder="1" applyAlignment="1"/>
    <xf numFmtId="3" fontId="86" fillId="0" borderId="8" xfId="0" applyNumberFormat="1" applyFont="1" applyFill="1" applyBorder="1" applyAlignment="1"/>
    <xf numFmtId="3" fontId="86" fillId="41" borderId="8" xfId="0" applyNumberFormat="1" applyFont="1" applyFill="1" applyBorder="1" applyAlignment="1"/>
    <xf numFmtId="3" fontId="86" fillId="41" borderId="3" xfId="0" applyNumberFormat="1" applyFont="1" applyFill="1" applyBorder="1" applyAlignment="1"/>
    <xf numFmtId="165" fontId="90" fillId="41" borderId="9" xfId="2" applyNumberFormat="1" applyFont="1" applyFill="1" applyBorder="1" applyAlignment="1"/>
    <xf numFmtId="3" fontId="86" fillId="0" borderId="9" xfId="2" applyNumberFormat="1" applyFont="1" applyFill="1" applyBorder="1" applyAlignment="1"/>
    <xf numFmtId="3" fontId="86" fillId="0" borderId="7" xfId="0" applyNumberFormat="1" applyFont="1" applyFill="1" applyBorder="1" applyAlignment="1"/>
    <xf numFmtId="3" fontId="42" fillId="0" borderId="0" xfId="0" applyNumberFormat="1" applyFont="1" applyAlignment="1"/>
    <xf numFmtId="0" fontId="91" fillId="24" borderId="9" xfId="0" applyFont="1" applyFill="1" applyBorder="1" applyAlignment="1"/>
    <xf numFmtId="3" fontId="91" fillId="24" borderId="7" xfId="0" applyNumberFormat="1" applyFont="1" applyFill="1" applyBorder="1" applyAlignment="1"/>
    <xf numFmtId="165" fontId="7" fillId="24" borderId="0" xfId="2" applyNumberFormat="1" applyFont="1" applyFill="1" applyBorder="1" applyAlignment="1"/>
    <xf numFmtId="3" fontId="91" fillId="24" borderId="3" xfId="0" applyNumberFormat="1" applyFont="1" applyFill="1" applyBorder="1" applyAlignment="1"/>
    <xf numFmtId="0" fontId="86" fillId="0" borderId="4" xfId="0" applyFont="1" applyFill="1" applyBorder="1" applyAlignment="1"/>
    <xf numFmtId="10" fontId="90" fillId="0" borderId="0" xfId="0" applyNumberFormat="1" applyFont="1" applyFill="1" applyBorder="1" applyAlignment="1"/>
    <xf numFmtId="0" fontId="86" fillId="0" borderId="0" xfId="0" applyFont="1" applyFill="1" applyBorder="1" applyAlignment="1"/>
    <xf numFmtId="3" fontId="86" fillId="0" borderId="0" xfId="0" applyNumberFormat="1" applyFont="1" applyFill="1" applyBorder="1" applyAlignment="1"/>
    <xf numFmtId="9" fontId="86" fillId="0" borderId="0" xfId="2" applyFont="1" applyFill="1" applyBorder="1" applyAlignment="1"/>
    <xf numFmtId="0" fontId="92" fillId="0" borderId="0" xfId="0" applyFont="1" applyAlignment="1"/>
    <xf numFmtId="4" fontId="42" fillId="0" borderId="0" xfId="0" applyNumberFormat="1" applyFont="1" applyAlignment="1"/>
    <xf numFmtId="0" fontId="42" fillId="0" borderId="0" xfId="0" applyFont="1" applyBorder="1" applyAlignment="1"/>
    <xf numFmtId="3" fontId="67" fillId="0" borderId="0" xfId="0" applyNumberFormat="1" applyFont="1" applyFill="1" applyBorder="1" applyAlignment="1"/>
    <xf numFmtId="3" fontId="93" fillId="0" borderId="0" xfId="0" applyNumberFormat="1" applyFont="1" applyFill="1" applyBorder="1" applyAlignment="1"/>
    <xf numFmtId="9" fontId="42" fillId="0" borderId="0" xfId="2" applyFont="1" applyAlignment="1"/>
    <xf numFmtId="43" fontId="94" fillId="0" borderId="0" xfId="1" applyNumberFormat="1" applyFont="1" applyFill="1"/>
    <xf numFmtId="43" fontId="94" fillId="15" borderId="0" xfId="1" applyNumberFormat="1" applyFont="1" applyFill="1"/>
    <xf numFmtId="43" fontId="60" fillId="0" borderId="0" xfId="0" applyNumberFormat="1" applyFont="1" applyFill="1"/>
    <xf numFmtId="43" fontId="94" fillId="7" borderId="0" xfId="1" applyNumberFormat="1" applyFont="1" applyFill="1"/>
    <xf numFmtId="43" fontId="24" fillId="34" borderId="0" xfId="1" applyNumberFormat="1" applyFont="1" applyFill="1"/>
    <xf numFmtId="43" fontId="60" fillId="0" borderId="0" xfId="0" applyNumberFormat="1" applyFont="1"/>
    <xf numFmtId="43" fontId="24" fillId="0" borderId="0" xfId="1" applyNumberFormat="1" applyFont="1" applyFill="1"/>
    <xf numFmtId="164" fontId="49" fillId="0" borderId="0" xfId="0" applyNumberFormat="1" applyFont="1"/>
    <xf numFmtId="164" fontId="47" fillId="5" borderId="0" xfId="1" applyNumberFormat="1" applyFont="1" applyFill="1" applyBorder="1"/>
    <xf numFmtId="164" fontId="47" fillId="0" borderId="0" xfId="1" applyNumberFormat="1" applyFont="1" applyFill="1" applyBorder="1"/>
    <xf numFmtId="164" fontId="47" fillId="7" borderId="0" xfId="1" applyNumberFormat="1" applyFont="1" applyFill="1" applyBorder="1"/>
    <xf numFmtId="164" fontId="47" fillId="0" borderId="0" xfId="1" applyNumberFormat="1" applyFont="1" applyFill="1" applyBorder="1" applyAlignment="1">
      <alignment horizontal="left" indent="1"/>
    </xf>
    <xf numFmtId="164" fontId="68" fillId="30" borderId="0" xfId="1" applyNumberFormat="1" applyFont="1" applyFill="1" applyBorder="1"/>
    <xf numFmtId="172" fontId="0" fillId="0" borderId="0" xfId="0" applyNumberFormat="1" applyFill="1"/>
    <xf numFmtId="0" fontId="4" fillId="0" borderId="1" xfId="0" applyFont="1" applyBorder="1" applyAlignment="1" applyProtection="1">
      <alignment horizontal="center" vertical="center"/>
      <protection locked="0"/>
    </xf>
    <xf numFmtId="43" fontId="40" fillId="0" borderId="0" xfId="1" applyNumberFormat="1" applyFont="1" applyFill="1" applyProtection="1">
      <protection locked="0"/>
    </xf>
    <xf numFmtId="43" fontId="40" fillId="7" borderId="0" xfId="1" applyNumberFormat="1" applyFont="1" applyFill="1" applyProtection="1">
      <protection locked="0"/>
    </xf>
    <xf numFmtId="0" fontId="47" fillId="0" borderId="5" xfId="0" applyFont="1" applyFill="1" applyBorder="1"/>
    <xf numFmtId="43" fontId="40" fillId="0" borderId="5" xfId="1" applyNumberFormat="1" applyFont="1" applyFill="1" applyBorder="1" applyProtection="1">
      <protection locked="0"/>
    </xf>
    <xf numFmtId="0" fontId="42" fillId="0" borderId="3" xfId="0" applyFont="1" applyFill="1" applyBorder="1" applyAlignment="1">
      <alignment horizontal="center" wrapText="1"/>
    </xf>
    <xf numFmtId="9" fontId="3" fillId="20" borderId="24" xfId="0" applyNumberFormat="1" applyFont="1" applyFill="1" applyBorder="1"/>
    <xf numFmtId="164" fontId="23" fillId="29" borderId="3" xfId="1" applyNumberFormat="1" applyFont="1" applyFill="1" applyBorder="1"/>
    <xf numFmtId="0" fontId="30" fillId="0" borderId="23" xfId="0" applyFont="1" applyFill="1" applyBorder="1" applyAlignment="1"/>
    <xf numFmtId="0" fontId="30" fillId="0" borderId="29" xfId="0" applyFont="1" applyFill="1" applyBorder="1" applyAlignment="1"/>
    <xf numFmtId="165" fontId="30" fillId="8" borderId="24" xfId="0" applyNumberFormat="1" applyFont="1" applyFill="1" applyBorder="1" applyAlignment="1"/>
    <xf numFmtId="164" fontId="23" fillId="2" borderId="0" xfId="1" applyNumberFormat="1" applyFont="1" applyFill="1"/>
    <xf numFmtId="0" fontId="5" fillId="0" borderId="0" xfId="0" applyFont="1" applyBorder="1" applyAlignment="1" applyProtection="1">
      <protection locked="0"/>
    </xf>
    <xf numFmtId="0" fontId="5" fillId="0" borderId="0" xfId="0" applyFont="1" applyFill="1" applyBorder="1" applyAlignment="1" applyProtection="1">
      <protection locked="0"/>
    </xf>
    <xf numFmtId="164" fontId="5" fillId="0" borderId="0" xfId="1" applyNumberFormat="1" applyFont="1" applyBorder="1" applyAlignment="1" applyProtection="1">
      <alignment vertical="center"/>
      <protection locked="0"/>
    </xf>
    <xf numFmtId="0" fontId="5" fillId="0" borderId="1" xfId="0" applyFont="1" applyBorder="1" applyAlignment="1" applyProtection="1">
      <protection locked="0"/>
    </xf>
    <xf numFmtId="165" fontId="5" fillId="0" borderId="1" xfId="2" applyNumberFormat="1" applyFont="1" applyBorder="1" applyAlignment="1" applyProtection="1">
      <alignment vertical="center"/>
      <protection locked="0"/>
    </xf>
    <xf numFmtId="0" fontId="5" fillId="0" borderId="1" xfId="0" applyFont="1" applyBorder="1" applyAlignment="1" applyProtection="1">
      <alignment horizontal="center"/>
      <protection locked="0"/>
    </xf>
    <xf numFmtId="164" fontId="4" fillId="0" borderId="3" xfId="0" applyNumberFormat="1" applyFont="1" applyBorder="1"/>
    <xf numFmtId="165" fontId="4" fillId="0" borderId="3" xfId="2" applyNumberFormat="1" applyFont="1" applyBorder="1"/>
    <xf numFmtId="164" fontId="5" fillId="0" borderId="0" xfId="1" applyNumberFormat="1" applyFont="1" applyBorder="1" applyProtection="1">
      <protection locked="0"/>
    </xf>
    <xf numFmtId="165" fontId="5" fillId="0" borderId="0" xfId="2" applyNumberFormat="1" applyFont="1" applyBorder="1" applyAlignment="1" applyProtection="1">
      <alignment horizontal="right" vertical="center"/>
      <protection locked="0"/>
    </xf>
    <xf numFmtId="0" fontId="5" fillId="0" borderId="0" xfId="0" applyFont="1" applyBorder="1"/>
    <xf numFmtId="165" fontId="5" fillId="0" borderId="0" xfId="2" applyNumberFormat="1" applyFont="1" applyBorder="1" applyAlignment="1" applyProtection="1">
      <alignment horizontal="center" vertical="center"/>
      <protection locked="0"/>
    </xf>
    <xf numFmtId="1" fontId="5" fillId="0" borderId="0" xfId="0" applyNumberFormat="1" applyFont="1" applyProtection="1">
      <protection locked="0"/>
    </xf>
    <xf numFmtId="1" fontId="5" fillId="0" borderId="0" xfId="0" applyNumberFormat="1" applyFont="1"/>
    <xf numFmtId="0" fontId="5" fillId="0" borderId="3" xfId="0" applyFont="1" applyBorder="1" applyProtection="1">
      <protection locked="0"/>
    </xf>
    <xf numFmtId="164" fontId="5" fillId="0" borderId="3" xfId="0" applyNumberFormat="1" applyFont="1" applyBorder="1" applyProtection="1">
      <protection locked="0"/>
    </xf>
    <xf numFmtId="165" fontId="5" fillId="0" borderId="3" xfId="2" applyNumberFormat="1" applyFont="1" applyBorder="1" applyAlignment="1" applyProtection="1">
      <alignment horizontal="right"/>
      <protection locked="0"/>
    </xf>
    <xf numFmtId="0" fontId="5" fillId="0" borderId="4" xfId="0" applyFont="1" applyBorder="1" applyProtection="1">
      <protection locked="0"/>
    </xf>
    <xf numFmtId="0" fontId="5" fillId="0" borderId="4" xfId="0" applyFont="1" applyBorder="1"/>
    <xf numFmtId="165" fontId="5" fillId="0" borderId="4" xfId="2" applyNumberFormat="1" applyFont="1" applyBorder="1"/>
    <xf numFmtId="165" fontId="5" fillId="0" borderId="0" xfId="2" applyNumberFormat="1" applyFont="1" applyBorder="1"/>
    <xf numFmtId="0" fontId="5" fillId="0" borderId="2" xfId="0" applyFont="1" applyFill="1" applyBorder="1" applyAlignment="1" applyProtection="1">
      <protection locked="0"/>
    </xf>
    <xf numFmtId="0" fontId="5" fillId="0" borderId="2" xfId="0" applyFont="1" applyBorder="1"/>
    <xf numFmtId="165" fontId="5" fillId="0" borderId="2" xfId="2" applyNumberFormat="1" applyFont="1" applyBorder="1"/>
    <xf numFmtId="0" fontId="5" fillId="0" borderId="2" xfId="0" applyFont="1" applyBorder="1" applyProtection="1">
      <protection locked="0"/>
    </xf>
    <xf numFmtId="1" fontId="5" fillId="0" borderId="2" xfId="0" applyNumberFormat="1" applyFont="1" applyBorder="1" applyProtection="1">
      <protection locked="0"/>
    </xf>
    <xf numFmtId="165" fontId="5" fillId="0" borderId="2" xfId="2" applyNumberFormat="1" applyFont="1" applyBorder="1" applyProtection="1">
      <protection locked="0"/>
    </xf>
    <xf numFmtId="0" fontId="3" fillId="10" borderId="0" xfId="0" applyFont="1" applyFill="1"/>
    <xf numFmtId="0" fontId="5" fillId="10" borderId="0" xfId="0" applyFont="1" applyFill="1" applyBorder="1" applyProtection="1">
      <protection locked="0"/>
    </xf>
    <xf numFmtId="0" fontId="5" fillId="10" borderId="0" xfId="0" applyFont="1" applyFill="1" applyProtection="1">
      <protection locked="0"/>
    </xf>
    <xf numFmtId="0" fontId="5" fillId="10" borderId="0" xfId="0" applyFont="1" applyFill="1"/>
    <xf numFmtId="0" fontId="4" fillId="10" borderId="0" xfId="0" applyFont="1" applyFill="1" applyBorder="1" applyProtection="1">
      <protection locked="0"/>
    </xf>
    <xf numFmtId="0" fontId="5" fillId="0" borderId="0" xfId="0" applyFont="1" applyBorder="1" applyAlignment="1" applyProtection="1">
      <alignment horizontal="left" indent="1"/>
      <protection locked="0"/>
    </xf>
    <xf numFmtId="0" fontId="5" fillId="0" borderId="0" xfId="0" applyFont="1" applyFill="1" applyBorder="1" applyAlignment="1" applyProtection="1">
      <alignment horizontal="left" indent="1"/>
      <protection locked="0"/>
    </xf>
    <xf numFmtId="165" fontId="42" fillId="0" borderId="0" xfId="2" applyNumberFormat="1" applyFont="1" applyFill="1" applyBorder="1" applyAlignment="1" applyProtection="1">
      <alignment vertical="top" wrapText="1"/>
      <protection locked="0"/>
    </xf>
    <xf numFmtId="165" fontId="42" fillId="0" borderId="0" xfId="0" applyNumberFormat="1" applyFont="1" applyFill="1" applyBorder="1"/>
    <xf numFmtId="164" fontId="4" fillId="0" borderId="3" xfId="1" applyNumberFormat="1" applyFont="1" applyBorder="1" applyAlignment="1" applyProtection="1">
      <alignment vertical="center"/>
      <protection locked="0"/>
    </xf>
    <xf numFmtId="165" fontId="4" fillId="0" borderId="3" xfId="2" applyNumberFormat="1" applyFont="1" applyBorder="1" applyProtection="1">
      <protection locked="0"/>
    </xf>
    <xf numFmtId="0" fontId="5" fillId="0" borderId="4" xfId="0" applyFont="1" applyFill="1" applyBorder="1" applyAlignment="1" applyProtection="1">
      <protection locked="0"/>
    </xf>
    <xf numFmtId="164" fontId="5" fillId="0" borderId="4" xfId="0" applyNumberFormat="1" applyFont="1" applyBorder="1"/>
    <xf numFmtId="165" fontId="5" fillId="0" borderId="4" xfId="2" applyNumberFormat="1" applyFont="1" applyBorder="1" applyProtection="1">
      <protection locked="0"/>
    </xf>
    <xf numFmtId="164" fontId="5" fillId="0" borderId="0" xfId="0" applyNumberFormat="1" applyFont="1" applyBorder="1"/>
    <xf numFmtId="165" fontId="5" fillId="0" borderId="0" xfId="2" applyNumberFormat="1" applyFont="1" applyBorder="1" applyProtection="1">
      <protection locked="0"/>
    </xf>
    <xf numFmtId="165" fontId="0" fillId="0" borderId="4" xfId="0" applyNumberFormat="1" applyBorder="1"/>
    <xf numFmtId="165" fontId="0" fillId="0" borderId="2" xfId="0" applyNumberFormat="1" applyBorder="1"/>
    <xf numFmtId="0" fontId="30" fillId="20" borderId="29" xfId="0" applyFont="1" applyFill="1" applyBorder="1" applyAlignment="1"/>
    <xf numFmtId="173" fontId="42" fillId="0" borderId="0" xfId="0" applyNumberFormat="1" applyFont="1" applyBorder="1" applyAlignment="1" applyProtection="1">
      <alignment vertical="top" wrapText="1"/>
      <protection locked="0"/>
    </xf>
    <xf numFmtId="173" fontId="42" fillId="10" borderId="0" xfId="0" applyNumberFormat="1" applyFont="1" applyFill="1" applyBorder="1" applyAlignment="1" applyProtection="1">
      <alignment vertical="top" wrapText="1"/>
      <protection locked="0"/>
    </xf>
    <xf numFmtId="0" fontId="44" fillId="7" borderId="0" xfId="0" applyFont="1" applyFill="1" applyAlignment="1" applyProtection="1">
      <alignment horizontal="left" vertical="top" indent="1"/>
      <protection locked="0"/>
    </xf>
    <xf numFmtId="173" fontId="42" fillId="7" borderId="0" xfId="0" applyNumberFormat="1" applyFont="1" applyFill="1" applyBorder="1" applyAlignment="1" applyProtection="1">
      <alignment vertical="top" wrapText="1"/>
      <protection locked="0"/>
    </xf>
    <xf numFmtId="0" fontId="44" fillId="7" borderId="5" xfId="0" applyFont="1" applyFill="1" applyBorder="1" applyAlignment="1" applyProtection="1">
      <alignment horizontal="left" vertical="top" indent="1"/>
      <protection locked="0"/>
    </xf>
    <xf numFmtId="173" fontId="42" fillId="7" borderId="5" xfId="0" applyNumberFormat="1" applyFont="1" applyFill="1" applyBorder="1" applyAlignment="1" applyProtection="1">
      <alignment vertical="top" wrapText="1"/>
      <protection locked="0"/>
    </xf>
    <xf numFmtId="0" fontId="0" fillId="0" borderId="0" xfId="0" applyFont="1" applyFill="1"/>
    <xf numFmtId="164" fontId="5" fillId="0" borderId="0" xfId="1" applyNumberFormat="1" applyFont="1"/>
    <xf numFmtId="0" fontId="3" fillId="0" borderId="3" xfId="0" applyFont="1" applyBorder="1" applyAlignment="1">
      <alignment horizontal="center"/>
    </xf>
    <xf numFmtId="0" fontId="5" fillId="0" borderId="5" xfId="0" applyFont="1" applyBorder="1"/>
    <xf numFmtId="0" fontId="3" fillId="19" borderId="6" xfId="0" applyFont="1" applyFill="1" applyBorder="1" applyAlignment="1" applyProtection="1">
      <alignment horizontal="center" vertical="center"/>
      <protection locked="0"/>
    </xf>
    <xf numFmtId="165" fontId="42" fillId="0" borderId="0" xfId="2" applyNumberFormat="1" applyFont="1" applyBorder="1" applyAlignment="1" applyProtection="1">
      <alignment vertical="top" wrapText="1"/>
      <protection locked="0"/>
    </xf>
    <xf numFmtId="9" fontId="0" fillId="0" borderId="0" xfId="2" applyFont="1"/>
    <xf numFmtId="174" fontId="5" fillId="0" borderId="0" xfId="0" applyNumberFormat="1" applyFont="1"/>
    <xf numFmtId="15" fontId="0" fillId="0" borderId="0" xfId="0" applyNumberFormat="1" applyAlignment="1" applyProtection="1">
      <alignment horizontal="center" vertical="center"/>
      <protection locked="0"/>
    </xf>
    <xf numFmtId="165" fontId="0" fillId="0" borderId="0" xfId="2" applyNumberFormat="1" applyFont="1" applyBorder="1" applyProtection="1">
      <protection locked="0"/>
    </xf>
    <xf numFmtId="0" fontId="0" fillId="0" borderId="19" xfId="0" applyFont="1" applyBorder="1" applyProtection="1">
      <protection locked="0"/>
    </xf>
    <xf numFmtId="0" fontId="0" fillId="0" borderId="25" xfId="0" applyFont="1" applyBorder="1" applyProtection="1">
      <protection locked="0"/>
    </xf>
    <xf numFmtId="0" fontId="0" fillId="0" borderId="26" xfId="0" applyFont="1" applyBorder="1" applyProtection="1">
      <protection locked="0"/>
    </xf>
    <xf numFmtId="0" fontId="0" fillId="0" borderId="0" xfId="0" applyFont="1" applyBorder="1" applyProtection="1">
      <protection locked="0"/>
    </xf>
    <xf numFmtId="0" fontId="0" fillId="0" borderId="21" xfId="0" applyFont="1" applyBorder="1" applyProtection="1">
      <protection locked="0"/>
    </xf>
    <xf numFmtId="0" fontId="0" fillId="0" borderId="28" xfId="0" applyFont="1" applyBorder="1" applyProtection="1">
      <protection locked="0"/>
    </xf>
    <xf numFmtId="0" fontId="3" fillId="10" borderId="0" xfId="0" applyFont="1" applyFill="1" applyProtection="1">
      <protection locked="0"/>
    </xf>
    <xf numFmtId="165" fontId="0" fillId="0" borderId="25" xfId="2" applyNumberFormat="1" applyFont="1" applyBorder="1" applyProtection="1">
      <protection locked="0"/>
    </xf>
    <xf numFmtId="165" fontId="0" fillId="0" borderId="28" xfId="2" applyNumberFormat="1" applyFont="1" applyBorder="1" applyProtection="1">
      <protection locked="0"/>
    </xf>
    <xf numFmtId="0" fontId="5" fillId="0" borderId="19" xfId="0" applyFont="1" applyFill="1" applyBorder="1" applyProtection="1">
      <protection locked="0"/>
    </xf>
    <xf numFmtId="0" fontId="5" fillId="0" borderId="25" xfId="0" applyFont="1" applyFill="1" applyBorder="1" applyProtection="1">
      <protection locked="0"/>
    </xf>
    <xf numFmtId="0" fontId="5" fillId="0" borderId="21" xfId="0" applyFont="1" applyFill="1" applyBorder="1" applyProtection="1">
      <protection locked="0"/>
    </xf>
    <xf numFmtId="0" fontId="5" fillId="0" borderId="28" xfId="0" applyFont="1" applyFill="1" applyBorder="1" applyProtection="1">
      <protection locked="0"/>
    </xf>
    <xf numFmtId="0" fontId="50" fillId="0" borderId="0" xfId="0" applyFont="1" applyAlignment="1" applyProtection="1">
      <alignment vertical="center"/>
      <protection locked="0"/>
    </xf>
    <xf numFmtId="0" fontId="47" fillId="0" borderId="4" xfId="0" applyFont="1" applyFill="1" applyBorder="1"/>
    <xf numFmtId="164" fontId="23" fillId="0" borderId="4" xfId="1" applyNumberFormat="1" applyFont="1" applyFill="1" applyBorder="1"/>
    <xf numFmtId="0" fontId="47" fillId="0" borderId="2" xfId="0" applyFont="1" applyFill="1" applyBorder="1"/>
    <xf numFmtId="166" fontId="3" fillId="0" borderId="9" xfId="0" applyNumberFormat="1" applyFont="1" applyFill="1" applyBorder="1"/>
    <xf numFmtId="0" fontId="0" fillId="0" borderId="9" xfId="0" applyFont="1" applyFill="1" applyBorder="1" applyAlignment="1">
      <alignment horizontal="left" indent="1"/>
    </xf>
    <xf numFmtId="0" fontId="3" fillId="0" borderId="0" xfId="0" applyFont="1" applyFill="1"/>
    <xf numFmtId="166" fontId="0" fillId="0" borderId="9" xfId="0" applyNumberFormat="1" applyFont="1" applyFill="1" applyBorder="1"/>
    <xf numFmtId="0" fontId="0" fillId="0" borderId="9" xfId="0" applyFont="1" applyFill="1" applyBorder="1" applyAlignment="1"/>
    <xf numFmtId="0" fontId="0" fillId="0" borderId="20" xfId="0" applyFont="1" applyBorder="1"/>
    <xf numFmtId="0" fontId="0" fillId="0" borderId="26" xfId="0" applyFont="1" applyBorder="1"/>
    <xf numFmtId="0" fontId="0" fillId="0" borderId="27" xfId="0" applyFont="1" applyBorder="1"/>
    <xf numFmtId="0" fontId="0" fillId="0" borderId="26" xfId="0" applyFont="1" applyBorder="1" applyAlignment="1">
      <alignment horizontal="left" indent="1"/>
    </xf>
    <xf numFmtId="44" fontId="0" fillId="0" borderId="27" xfId="87" applyNumberFormat="1" applyFont="1" applyBorder="1"/>
    <xf numFmtId="0" fontId="0" fillId="0" borderId="21" xfId="0" applyFont="1" applyBorder="1" applyAlignment="1">
      <alignment horizontal="left" indent="1"/>
    </xf>
    <xf numFmtId="44" fontId="0" fillId="0" borderId="22" xfId="87" applyNumberFormat="1" applyFont="1" applyBorder="1"/>
    <xf numFmtId="0" fontId="3" fillId="0" borderId="19" xfId="0" applyFont="1" applyBorder="1"/>
    <xf numFmtId="0" fontId="0" fillId="0" borderId="0" xfId="0" applyAlignment="1">
      <alignment horizontal="right"/>
    </xf>
    <xf numFmtId="41" fontId="47" fillId="0" borderId="0" xfId="87" applyNumberFormat="1" applyFont="1" applyFill="1"/>
    <xf numFmtId="166" fontId="5" fillId="21" borderId="20" xfId="87" applyNumberFormat="1" applyFont="1" applyFill="1" applyBorder="1" applyProtection="1">
      <protection locked="0"/>
    </xf>
    <xf numFmtId="166" fontId="5" fillId="21" borderId="22" xfId="87" applyNumberFormat="1" applyFont="1" applyFill="1" applyBorder="1" applyProtection="1">
      <protection locked="0"/>
    </xf>
    <xf numFmtId="41" fontId="60" fillId="0" borderId="0" xfId="0" applyNumberFormat="1" applyFont="1" applyFill="1"/>
    <xf numFmtId="165" fontId="60" fillId="0" borderId="0" xfId="2" applyNumberFormat="1" applyFont="1"/>
    <xf numFmtId="165" fontId="60" fillId="0" borderId="0" xfId="2" applyNumberFormat="1" applyFont="1" applyFill="1"/>
    <xf numFmtId="0" fontId="60" fillId="0" borderId="0" xfId="0" applyFont="1" applyFill="1"/>
    <xf numFmtId="0" fontId="3" fillId="11" borderId="3" xfId="0" applyFont="1" applyFill="1" applyBorder="1"/>
    <xf numFmtId="0" fontId="3" fillId="11" borderId="3" xfId="0" applyFont="1" applyFill="1" applyBorder="1" applyAlignment="1">
      <alignment horizontal="center"/>
    </xf>
    <xf numFmtId="0" fontId="0" fillId="11" borderId="2" xfId="0" applyFill="1" applyBorder="1"/>
    <xf numFmtId="164" fontId="0" fillId="11" borderId="2" xfId="1" applyNumberFormat="1" applyFont="1" applyFill="1" applyBorder="1"/>
    <xf numFmtId="0" fontId="50" fillId="7" borderId="0" xfId="0" applyFont="1" applyFill="1"/>
    <xf numFmtId="0" fontId="95" fillId="7" borderId="0" xfId="0" applyFont="1" applyFill="1"/>
    <xf numFmtId="9" fontId="42" fillId="21" borderId="24" xfId="0" applyNumberFormat="1" applyFont="1" applyFill="1" applyBorder="1"/>
    <xf numFmtId="0" fontId="0" fillId="21" borderId="29" xfId="0" applyFill="1" applyBorder="1"/>
    <xf numFmtId="9" fontId="3" fillId="21" borderId="24" xfId="0" applyNumberFormat="1" applyFont="1" applyFill="1" applyBorder="1"/>
    <xf numFmtId="171" fontId="42" fillId="4" borderId="20" xfId="0" applyNumberFormat="1" applyFont="1" applyFill="1" applyBorder="1"/>
    <xf numFmtId="171" fontId="42" fillId="4" borderId="27" xfId="0" applyNumberFormat="1" applyFont="1" applyFill="1" applyBorder="1"/>
    <xf numFmtId="171" fontId="42" fillId="4" borderId="22" xfId="0" applyNumberFormat="1" applyFont="1" applyFill="1" applyBorder="1"/>
    <xf numFmtId="0" fontId="5" fillId="0" borderId="0" xfId="0" applyFont="1" applyFill="1" applyAlignment="1">
      <alignment horizontal="center"/>
    </xf>
    <xf numFmtId="10" fontId="5" fillId="21" borderId="28" xfId="2" applyNumberFormat="1" applyFont="1" applyFill="1" applyBorder="1" applyAlignment="1" applyProtection="1">
      <alignment horizontal="center" vertical="center"/>
      <protection locked="0"/>
    </xf>
    <xf numFmtId="3" fontId="43" fillId="21" borderId="24" xfId="0" applyNumberFormat="1" applyFont="1" applyFill="1" applyBorder="1" applyAlignment="1">
      <alignment vertical="center"/>
    </xf>
    <xf numFmtId="0" fontId="42" fillId="0" borderId="23" xfId="0" applyFont="1" applyFill="1" applyBorder="1"/>
    <xf numFmtId="0" fontId="42" fillId="0" borderId="29" xfId="0" applyFont="1" applyFill="1" applyBorder="1"/>
    <xf numFmtId="0" fontId="43" fillId="0" borderId="23" xfId="0" applyFont="1" applyFill="1" applyBorder="1"/>
    <xf numFmtId="0" fontId="0" fillId="0" borderId="29" xfId="0" applyFill="1" applyBorder="1"/>
    <xf numFmtId="0" fontId="3" fillId="3" borderId="0" xfId="0" applyFont="1" applyFill="1"/>
    <xf numFmtId="9" fontId="42" fillId="21" borderId="25" xfId="0" applyNumberFormat="1" applyFont="1" applyFill="1" applyBorder="1"/>
    <xf numFmtId="165" fontId="42" fillId="21" borderId="20" xfId="2" applyNumberFormat="1" applyFont="1" applyFill="1" applyBorder="1"/>
    <xf numFmtId="9" fontId="42" fillId="21" borderId="28" xfId="0" applyNumberFormat="1" applyFont="1" applyFill="1" applyBorder="1"/>
    <xf numFmtId="165" fontId="42" fillId="21" borderId="22" xfId="0" applyNumberFormat="1" applyFont="1" applyFill="1" applyBorder="1"/>
    <xf numFmtId="0" fontId="3" fillId="0" borderId="23" xfId="0" applyFont="1" applyFill="1" applyBorder="1"/>
    <xf numFmtId="2" fontId="42" fillId="21" borderId="0" xfId="0" applyNumberFormat="1" applyFont="1" applyFill="1"/>
    <xf numFmtId="0" fontId="0" fillId="0" borderId="19" xfId="0" applyFill="1" applyBorder="1"/>
    <xf numFmtId="0" fontId="0" fillId="0" borderId="25" xfId="0" applyFill="1" applyBorder="1"/>
    <xf numFmtId="0" fontId="0" fillId="0" borderId="28" xfId="0" applyFill="1" applyBorder="1"/>
    <xf numFmtId="2" fontId="0" fillId="0" borderId="22" xfId="0" applyNumberFormat="1" applyBorder="1"/>
    <xf numFmtId="9" fontId="0" fillId="4" borderId="20" xfId="0" applyNumberFormat="1" applyFill="1" applyBorder="1"/>
    <xf numFmtId="171" fontId="42" fillId="21" borderId="0" xfId="0" applyNumberFormat="1" applyFont="1" applyFill="1"/>
    <xf numFmtId="0" fontId="0" fillId="21" borderId="0" xfId="0" applyFill="1"/>
    <xf numFmtId="0" fontId="0" fillId="21" borderId="23" xfId="0" applyFill="1" applyBorder="1"/>
    <xf numFmtId="9" fontId="3" fillId="21" borderId="24" xfId="0" applyNumberFormat="1" applyFont="1" applyFill="1" applyBorder="1" applyAlignment="1">
      <alignment horizontal="right"/>
    </xf>
    <xf numFmtId="9" fontId="42" fillId="21" borderId="25" xfId="0" applyNumberFormat="1" applyFont="1" applyFill="1" applyBorder="1" applyAlignment="1">
      <alignment horizontal="center"/>
    </xf>
    <xf numFmtId="9" fontId="42" fillId="21" borderId="28" xfId="0" applyNumberFormat="1" applyFont="1" applyFill="1" applyBorder="1" applyAlignment="1">
      <alignment horizontal="center"/>
    </xf>
    <xf numFmtId="0" fontId="0" fillId="0" borderId="0" xfId="0" applyAlignment="1">
      <alignment horizontal="left"/>
    </xf>
    <xf numFmtId="2" fontId="0" fillId="0" borderId="25" xfId="0" applyNumberFormat="1" applyBorder="1"/>
    <xf numFmtId="170" fontId="42" fillId="21" borderId="0" xfId="0" applyNumberFormat="1" applyFont="1" applyFill="1" applyBorder="1"/>
    <xf numFmtId="170" fontId="42" fillId="21" borderId="28" xfId="0" applyNumberFormat="1" applyFont="1" applyFill="1" applyBorder="1"/>
    <xf numFmtId="172" fontId="42" fillId="0" borderId="19" xfId="0" applyNumberFormat="1" applyFont="1" applyBorder="1" applyAlignment="1" applyProtection="1">
      <alignment vertical="top" wrapText="1"/>
      <protection locked="0"/>
    </xf>
    <xf numFmtId="172" fontId="42" fillId="0" borderId="26" xfId="0" applyNumberFormat="1" applyFont="1" applyBorder="1" applyAlignment="1" applyProtection="1">
      <alignment vertical="top" wrapText="1"/>
      <protection locked="0"/>
    </xf>
    <xf numFmtId="172" fontId="42" fillId="0" borderId="27" xfId="0" applyNumberFormat="1" applyFont="1" applyBorder="1" applyAlignment="1" applyProtection="1">
      <alignment vertical="top" wrapText="1"/>
      <protection locked="0"/>
    </xf>
    <xf numFmtId="172" fontId="42" fillId="0" borderId="21" xfId="0" applyNumberFormat="1" applyFont="1" applyBorder="1" applyAlignment="1" applyProtection="1">
      <alignment vertical="top" wrapText="1"/>
      <protection locked="0"/>
    </xf>
    <xf numFmtId="165" fontId="42" fillId="0" borderId="28" xfId="2" applyNumberFormat="1" applyFont="1" applyBorder="1" applyAlignment="1" applyProtection="1">
      <alignment vertical="top" wrapText="1"/>
      <protection locked="0"/>
    </xf>
    <xf numFmtId="172" fontId="42" fillId="0" borderId="28" xfId="0" applyNumberFormat="1" applyFont="1" applyBorder="1" applyAlignment="1" applyProtection="1">
      <alignment vertical="top" wrapText="1"/>
      <protection locked="0"/>
    </xf>
    <xf numFmtId="172" fontId="42" fillId="0" borderId="22" xfId="0" applyNumberFormat="1" applyFont="1" applyBorder="1" applyAlignment="1" applyProtection="1">
      <alignment vertical="top" wrapText="1"/>
      <protection locked="0"/>
    </xf>
    <xf numFmtId="172" fontId="43" fillId="0" borderId="0" xfId="0" applyNumberFormat="1" applyFont="1" applyFill="1" applyBorder="1" applyAlignment="1" applyProtection="1">
      <alignment vertical="top" wrapText="1"/>
      <protection locked="0"/>
    </xf>
    <xf numFmtId="0" fontId="42" fillId="0" borderId="3" xfId="0" applyFont="1" applyBorder="1" applyAlignment="1" applyProtection="1">
      <alignment vertical="top" wrapText="1"/>
      <protection locked="0"/>
    </xf>
    <xf numFmtId="0" fontId="3" fillId="3" borderId="3" xfId="0" applyFont="1" applyFill="1" applyBorder="1"/>
    <xf numFmtId="0" fontId="9" fillId="17" borderId="3" xfId="0" applyFont="1" applyFill="1" applyBorder="1"/>
    <xf numFmtId="0" fontId="70" fillId="3" borderId="3" xfId="0" applyFont="1" applyFill="1" applyBorder="1" applyAlignment="1" applyProtection="1">
      <alignment horizontal="left" vertical="top" readingOrder="1"/>
      <protection locked="0"/>
    </xf>
    <xf numFmtId="0" fontId="9" fillId="3" borderId="3" xfId="0" applyFont="1" applyFill="1" applyBorder="1"/>
    <xf numFmtId="0" fontId="0" fillId="21" borderId="27" xfId="0" applyFill="1" applyBorder="1"/>
    <xf numFmtId="0" fontId="0" fillId="21" borderId="22" xfId="0" applyFill="1" applyBorder="1"/>
    <xf numFmtId="9" fontId="50" fillId="21" borderId="20" xfId="0" applyNumberFormat="1" applyFont="1" applyFill="1" applyBorder="1"/>
    <xf numFmtId="9" fontId="50" fillId="21" borderId="27" xfId="0" applyNumberFormat="1" applyFont="1" applyFill="1" applyBorder="1"/>
    <xf numFmtId="9" fontId="50" fillId="21" borderId="22" xfId="0" applyNumberFormat="1" applyFont="1" applyFill="1" applyBorder="1"/>
    <xf numFmtId="0" fontId="3" fillId="0" borderId="1" xfId="0" applyFont="1" applyBorder="1" applyAlignment="1">
      <alignment horizontal="center" wrapText="1"/>
    </xf>
    <xf numFmtId="171" fontId="81" fillId="0" borderId="0" xfId="0" applyNumberFormat="1" applyFont="1" applyFill="1" applyBorder="1" applyAlignment="1">
      <alignment vertical="center" wrapText="1"/>
    </xf>
    <xf numFmtId="0" fontId="0" fillId="0" borderId="3" xfId="0" applyFont="1" applyBorder="1" applyAlignment="1">
      <alignment horizontal="center" wrapText="1"/>
    </xf>
    <xf numFmtId="0" fontId="0" fillId="0" borderId="3" xfId="0" applyFont="1" applyFill="1" applyBorder="1" applyAlignment="1">
      <alignment horizontal="center" wrapText="1"/>
    </xf>
    <xf numFmtId="171" fontId="0" fillId="0" borderId="0" xfId="0" applyNumberFormat="1" applyFont="1"/>
    <xf numFmtId="0" fontId="81" fillId="0" borderId="0" xfId="0" applyFont="1" applyFill="1" applyBorder="1" applyAlignment="1">
      <alignment vertical="center" wrapText="1"/>
    </xf>
    <xf numFmtId="0" fontId="96" fillId="0" borderId="34" xfId="0" applyFont="1" applyBorder="1" applyAlignment="1" applyProtection="1">
      <alignment horizontal="left" vertical="top" indent="1"/>
      <protection locked="0"/>
    </xf>
    <xf numFmtId="0" fontId="96" fillId="14" borderId="34" xfId="0" applyFont="1" applyFill="1" applyBorder="1" applyAlignment="1" applyProtection="1">
      <alignment horizontal="left" vertical="top" indent="1"/>
      <protection locked="0"/>
    </xf>
    <xf numFmtId="0" fontId="96" fillId="0" borderId="0" xfId="0" applyFont="1" applyAlignment="1" applyProtection="1">
      <alignment horizontal="left" vertical="top" indent="1"/>
      <protection locked="0"/>
    </xf>
    <xf numFmtId="0" fontId="96" fillId="0" borderId="5" xfId="0" applyFont="1" applyBorder="1" applyAlignment="1" applyProtection="1">
      <alignment horizontal="left" vertical="top" indent="1"/>
      <protection locked="0"/>
    </xf>
    <xf numFmtId="0" fontId="0" fillId="7" borderId="0" xfId="0" applyFont="1" applyFill="1"/>
    <xf numFmtId="166" fontId="0" fillId="21" borderId="0" xfId="87" applyNumberFormat="1" applyFont="1" applyFill="1" applyProtection="1">
      <protection locked="0"/>
    </xf>
    <xf numFmtId="171" fontId="0" fillId="0" borderId="0" xfId="0" applyNumberFormat="1"/>
    <xf numFmtId="171" fontId="0" fillId="0" borderId="0" xfId="0" applyNumberFormat="1" applyFill="1"/>
    <xf numFmtId="171" fontId="0" fillId="21" borderId="0" xfId="0" applyNumberFormat="1" applyFill="1"/>
    <xf numFmtId="164" fontId="0" fillId="7" borderId="0" xfId="1" applyNumberFormat="1" applyFont="1" applyFill="1"/>
    <xf numFmtId="37" fontId="18" fillId="0" borderId="0" xfId="1" applyNumberFormat="1" applyFont="1" applyBorder="1"/>
    <xf numFmtId="43" fontId="42" fillId="0" borderId="0" xfId="0" applyNumberFormat="1" applyFont="1" applyFill="1"/>
    <xf numFmtId="164" fontId="35" fillId="0" borderId="17" xfId="2281" applyNumberFormat="1" applyFont="1" applyBorder="1"/>
    <xf numFmtId="164" fontId="35" fillId="0" borderId="16" xfId="2281" applyNumberFormat="1" applyFont="1" applyFill="1" applyBorder="1"/>
    <xf numFmtId="164" fontId="35" fillId="0" borderId="0" xfId="2281" applyNumberFormat="1" applyFont="1" applyFill="1" applyBorder="1"/>
    <xf numFmtId="164" fontId="35" fillId="0" borderId="17" xfId="2281" applyNumberFormat="1" applyFont="1" applyFill="1" applyBorder="1"/>
    <xf numFmtId="164" fontId="35" fillId="0" borderId="0" xfId="2281" applyNumberFormat="1" applyFont="1" applyBorder="1"/>
    <xf numFmtId="164" fontId="35" fillId="0" borderId="16" xfId="2281" applyNumberFormat="1" applyFont="1" applyBorder="1"/>
    <xf numFmtId="0" fontId="15" fillId="5" borderId="9" xfId="2281" applyNumberFormat="1" applyFont="1" applyFill="1" applyBorder="1" applyAlignment="1">
      <alignment horizontal="center" wrapText="1"/>
    </xf>
    <xf numFmtId="41" fontId="21" fillId="7" borderId="0" xfId="142" applyNumberFormat="1" applyFont="1" applyFill="1" applyBorder="1" applyAlignment="1">
      <alignment vertical="center"/>
    </xf>
    <xf numFmtId="164" fontId="21" fillId="0" borderId="3" xfId="2281" applyNumberFormat="1" applyFont="1" applyFill="1" applyBorder="1" applyAlignment="1">
      <alignment vertical="center"/>
    </xf>
    <xf numFmtId="164" fontId="17" fillId="5" borderId="0" xfId="2281" applyNumberFormat="1" applyFont="1" applyFill="1" applyBorder="1" applyAlignment="1">
      <alignment vertical="center"/>
    </xf>
    <xf numFmtId="164" fontId="21" fillId="0" borderId="0" xfId="2281" applyNumberFormat="1" applyFont="1" applyFill="1" applyBorder="1" applyAlignment="1">
      <alignment vertical="center"/>
    </xf>
    <xf numFmtId="44" fontId="0" fillId="0" borderId="0" xfId="0" applyNumberFormat="1"/>
    <xf numFmtId="164" fontId="30" fillId="0" borderId="0" xfId="0" applyNumberFormat="1" applyFont="1" applyAlignment="1"/>
    <xf numFmtId="172" fontId="97" fillId="0" borderId="0" xfId="0" applyNumberFormat="1" applyFont="1" applyBorder="1" applyAlignment="1" applyProtection="1">
      <alignment vertical="top" wrapText="1"/>
      <protection locked="0"/>
    </xf>
    <xf numFmtId="0" fontId="97" fillId="0" borderId="0" xfId="0" applyFont="1" applyBorder="1" applyAlignment="1" applyProtection="1">
      <alignment vertical="top" wrapText="1"/>
      <protection locked="0"/>
    </xf>
    <xf numFmtId="172" fontId="97" fillId="10" borderId="0" xfId="0" applyNumberFormat="1" applyFont="1" applyFill="1" applyBorder="1" applyAlignment="1" applyProtection="1">
      <alignment vertical="top" wrapText="1"/>
      <protection locked="0"/>
    </xf>
    <xf numFmtId="0" fontId="97" fillId="10" borderId="0" xfId="0" applyFont="1" applyFill="1" applyBorder="1" applyAlignment="1" applyProtection="1">
      <alignment vertical="top" wrapText="1"/>
      <protection locked="0"/>
    </xf>
    <xf numFmtId="172" fontId="87" fillId="0" borderId="3" xfId="0" applyNumberFormat="1" applyFont="1" applyBorder="1" applyAlignment="1" applyProtection="1">
      <alignment vertical="top" wrapText="1"/>
      <protection locked="0"/>
    </xf>
    <xf numFmtId="0" fontId="0" fillId="42" borderId="0" xfId="0" applyFill="1"/>
    <xf numFmtId="168" fontId="0" fillId="0" borderId="0" xfId="0" applyNumberFormat="1" applyFill="1"/>
    <xf numFmtId="168" fontId="0" fillId="0" borderId="0" xfId="0" applyNumberFormat="1"/>
    <xf numFmtId="168" fontId="42" fillId="0" borderId="0" xfId="0" applyNumberFormat="1" applyFont="1" applyBorder="1" applyAlignment="1" applyProtection="1">
      <alignment vertical="top" wrapText="1"/>
      <protection locked="0"/>
    </xf>
    <xf numFmtId="168" fontId="42" fillId="7" borderId="0" xfId="0" applyNumberFormat="1" applyFont="1" applyFill="1" applyBorder="1" applyAlignment="1" applyProtection="1">
      <alignment vertical="top" wrapText="1"/>
      <protection locked="0"/>
    </xf>
    <xf numFmtId="168" fontId="42" fillId="7" borderId="5" xfId="0" applyNumberFormat="1" applyFont="1" applyFill="1" applyBorder="1" applyAlignment="1" applyProtection="1">
      <alignment vertical="top" wrapText="1"/>
      <protection locked="0"/>
    </xf>
    <xf numFmtId="0" fontId="70" fillId="31" borderId="0" xfId="0" applyFont="1" applyFill="1" applyBorder="1" applyAlignment="1" applyProtection="1">
      <alignment horizontal="center" vertical="center" wrapText="1" readingOrder="1"/>
      <protection locked="0"/>
    </xf>
    <xf numFmtId="172" fontId="97" fillId="0" borderId="0" xfId="0" applyNumberFormat="1" applyFont="1"/>
    <xf numFmtId="172" fontId="97" fillId="0" borderId="0" xfId="0" applyNumberFormat="1" applyFont="1" applyFill="1" applyBorder="1"/>
    <xf numFmtId="164" fontId="97" fillId="0" borderId="0" xfId="1" applyNumberFormat="1" applyFont="1" applyBorder="1" applyAlignment="1" applyProtection="1">
      <alignment vertical="top" wrapText="1"/>
      <protection locked="0"/>
    </xf>
    <xf numFmtId="164" fontId="97" fillId="10" borderId="0" xfId="1" applyNumberFormat="1" applyFont="1" applyFill="1" applyBorder="1" applyAlignment="1" applyProtection="1">
      <alignment vertical="top" wrapText="1"/>
      <protection locked="0"/>
    </xf>
    <xf numFmtId="172" fontId="97" fillId="0" borderId="0" xfId="0" applyNumberFormat="1" applyFont="1" applyFill="1" applyBorder="1" applyAlignment="1" applyProtection="1">
      <alignment vertical="top" wrapText="1"/>
      <protection locked="0"/>
    </xf>
    <xf numFmtId="172" fontId="97" fillId="10" borderId="0" xfId="0" applyNumberFormat="1" applyFont="1" applyFill="1" applyBorder="1"/>
    <xf numFmtId="0" fontId="0" fillId="30" borderId="0" xfId="0" applyFill="1" applyBorder="1"/>
    <xf numFmtId="172" fontId="97" fillId="10" borderId="0" xfId="0" applyNumberFormat="1" applyFont="1" applyFill="1"/>
    <xf numFmtId="0" fontId="43" fillId="10" borderId="0" xfId="0" applyFont="1" applyFill="1" applyBorder="1" applyAlignment="1">
      <alignment horizontal="center" vertical="center" wrapText="1"/>
    </xf>
    <xf numFmtId="0" fontId="3" fillId="0" borderId="5" xfId="0" applyFont="1" applyBorder="1"/>
    <xf numFmtId="0" fontId="0" fillId="0" borderId="0" xfId="0" applyAlignment="1">
      <alignment vertical="center" wrapText="1"/>
    </xf>
    <xf numFmtId="0" fontId="24" fillId="0" borderId="0" xfId="0" applyFont="1" applyAlignment="1">
      <alignment vertical="center"/>
    </xf>
    <xf numFmtId="0" fontId="43" fillId="0" borderId="0" xfId="0" applyFont="1" applyAlignment="1">
      <alignment horizontal="center" vertical="center" wrapText="1"/>
    </xf>
    <xf numFmtId="0" fontId="98" fillId="0" borderId="0" xfId="0" applyFont="1"/>
    <xf numFmtId="172" fontId="0" fillId="0" borderId="3" xfId="0" applyNumberFormat="1" applyFill="1" applyBorder="1"/>
    <xf numFmtId="0" fontId="44" fillId="14" borderId="0" xfId="0" applyFont="1" applyFill="1" applyBorder="1" applyAlignment="1" applyProtection="1">
      <alignment horizontal="center" vertical="top" wrapText="1"/>
      <protection locked="0"/>
    </xf>
    <xf numFmtId="172" fontId="44" fillId="0" borderId="0" xfId="0" applyNumberFormat="1" applyFont="1" applyBorder="1" applyAlignment="1" applyProtection="1">
      <alignment vertical="top" wrapText="1"/>
      <protection locked="0"/>
    </xf>
    <xf numFmtId="175" fontId="41" fillId="0" borderId="0" xfId="0" applyNumberFormat="1" applyFont="1" applyAlignment="1" applyProtection="1">
      <alignment vertical="top" wrapText="1"/>
      <protection locked="0"/>
    </xf>
    <xf numFmtId="171" fontId="42" fillId="0" borderId="0" xfId="0" applyNumberFormat="1" applyFont="1" applyFill="1"/>
    <xf numFmtId="172" fontId="42" fillId="11" borderId="0" xfId="0" applyNumberFormat="1" applyFont="1" applyFill="1" applyBorder="1" applyAlignment="1" applyProtection="1">
      <alignment vertical="top" wrapText="1"/>
      <protection locked="0"/>
    </xf>
    <xf numFmtId="175" fontId="41" fillId="11" borderId="0" xfId="0" applyNumberFormat="1" applyFont="1" applyFill="1" applyAlignment="1" applyProtection="1">
      <alignment vertical="top" wrapText="1"/>
      <protection locked="0"/>
    </xf>
    <xf numFmtId="0" fontId="3" fillId="0" borderId="0" xfId="0" applyFont="1" applyFill="1" applyBorder="1"/>
    <xf numFmtId="0" fontId="4" fillId="0" borderId="23" xfId="0" applyFont="1" applyBorder="1"/>
    <xf numFmtId="0" fontId="4" fillId="0" borderId="29" xfId="0" applyFont="1" applyBorder="1"/>
    <xf numFmtId="175" fontId="41" fillId="3" borderId="0" xfId="0" applyNumberFormat="1" applyFont="1" applyFill="1" applyAlignment="1" applyProtection="1">
      <alignment vertical="top" wrapText="1"/>
      <protection locked="0"/>
    </xf>
    <xf numFmtId="171" fontId="42" fillId="3" borderId="0" xfId="0" applyNumberFormat="1" applyFont="1" applyFill="1"/>
    <xf numFmtId="0" fontId="3" fillId="0" borderId="0" xfId="0" applyFont="1" applyBorder="1" applyAlignment="1">
      <alignment horizontal="center" wrapText="1"/>
    </xf>
    <xf numFmtId="164" fontId="23" fillId="29" borderId="0" xfId="144" applyNumberFormat="1" applyFont="1" applyFill="1" applyBorder="1"/>
    <xf numFmtId="166" fontId="0" fillId="0" borderId="0" xfId="0" applyNumberFormat="1" applyAlignment="1">
      <alignment vertical="center" wrapText="1"/>
    </xf>
    <xf numFmtId="44" fontId="0" fillId="0" borderId="0" xfId="0" applyNumberFormat="1" applyAlignment="1">
      <alignment vertical="center" wrapText="1"/>
    </xf>
    <xf numFmtId="43" fontId="0" fillId="0" borderId="0" xfId="0" applyNumberFormat="1"/>
    <xf numFmtId="0" fontId="99" fillId="7" borderId="0" xfId="0" applyFont="1" applyFill="1"/>
    <xf numFmtId="0" fontId="99" fillId="0" borderId="0" xfId="0" applyFont="1"/>
    <xf numFmtId="43" fontId="99" fillId="0" borderId="0" xfId="0" applyNumberFormat="1" applyFont="1"/>
    <xf numFmtId="0" fontId="100" fillId="0" borderId="0" xfId="0" applyFont="1" applyFill="1" applyBorder="1" applyAlignment="1">
      <alignment horizontal="center" wrapText="1"/>
    </xf>
    <xf numFmtId="0" fontId="31" fillId="0" borderId="0" xfId="0" applyFont="1" applyFill="1"/>
    <xf numFmtId="0" fontId="42" fillId="0" borderId="0" xfId="0" applyFont="1" applyFill="1" applyBorder="1" applyAlignment="1">
      <alignment horizontal="center" wrapText="1"/>
    </xf>
    <xf numFmtId="9" fontId="4" fillId="20" borderId="24" xfId="0" applyNumberFormat="1" applyFont="1" applyFill="1" applyBorder="1" applyAlignment="1">
      <alignment horizontal="right"/>
    </xf>
    <xf numFmtId="37" fontId="24" fillId="0" borderId="0" xfId="0" applyNumberFormat="1" applyFont="1" applyFill="1" applyBorder="1" applyAlignment="1">
      <alignment horizontal="center" vertical="center" wrapText="1"/>
    </xf>
    <xf numFmtId="165" fontId="3" fillId="4" borderId="0" xfId="0" applyNumberFormat="1" applyFont="1" applyFill="1" applyBorder="1"/>
    <xf numFmtId="165" fontId="3" fillId="0" borderId="0" xfId="0" applyNumberFormat="1" applyFont="1" applyBorder="1"/>
    <xf numFmtId="164" fontId="35" fillId="0" borderId="10" xfId="2281" applyNumberFormat="1" applyFont="1" applyFill="1" applyBorder="1"/>
    <xf numFmtId="164" fontId="35" fillId="0" borderId="18" xfId="2281" applyNumberFormat="1" applyFont="1" applyFill="1" applyBorder="1"/>
    <xf numFmtId="0" fontId="23" fillId="0" borderId="0" xfId="0" applyFont="1" applyFill="1" applyAlignment="1">
      <alignment horizontal="center"/>
    </xf>
    <xf numFmtId="164" fontId="0" fillId="0" borderId="0" xfId="2281" applyNumberFormat="1" applyFont="1"/>
    <xf numFmtId="164" fontId="0" fillId="0" borderId="1" xfId="2281" applyNumberFormat="1" applyFont="1" applyFill="1" applyBorder="1"/>
    <xf numFmtId="164" fontId="0" fillId="0" borderId="0" xfId="2281" applyNumberFormat="1" applyFont="1" applyBorder="1"/>
    <xf numFmtId="0" fontId="25" fillId="0" borderId="0" xfId="142" applyFont="1" applyFill="1" applyAlignment="1">
      <alignment horizontal="right" vertical="center"/>
    </xf>
    <xf numFmtId="0" fontId="47" fillId="5" borderId="0" xfId="0" applyFont="1" applyFill="1" applyAlignment="1">
      <alignment horizontal="center"/>
    </xf>
    <xf numFmtId="0" fontId="0" fillId="3" borderId="3" xfId="0" applyFill="1" applyBorder="1"/>
    <xf numFmtId="0" fontId="68" fillId="0" borderId="0" xfId="0" applyFont="1" applyFill="1" applyBorder="1"/>
    <xf numFmtId="164" fontId="68" fillId="0" borderId="0" xfId="1" applyNumberFormat="1" applyFont="1" applyFill="1" applyBorder="1"/>
    <xf numFmtId="165" fontId="30" fillId="0" borderId="0" xfId="0" applyNumberFormat="1" applyFont="1" applyAlignment="1">
      <alignment horizontal="center"/>
    </xf>
    <xf numFmtId="9" fontId="4" fillId="20" borderId="24" xfId="0" applyNumberFormat="1" applyFont="1" applyFill="1" applyBorder="1"/>
    <xf numFmtId="0" fontId="4" fillId="0" borderId="3" xfId="5616" applyFont="1" applyFill="1" applyBorder="1" applyAlignment="1">
      <alignment vertical="center"/>
    </xf>
    <xf numFmtId="0" fontId="0" fillId="0" borderId="3" xfId="0" applyBorder="1" applyAlignment="1">
      <alignment horizontal="center"/>
    </xf>
    <xf numFmtId="0" fontId="4" fillId="0" borderId="0" xfId="5616" applyFont="1" applyFill="1" applyBorder="1" applyAlignment="1">
      <alignment vertical="center"/>
    </xf>
    <xf numFmtId="42" fontId="5" fillId="0" borderId="0" xfId="5616" applyNumberFormat="1" applyFont="1" applyFill="1" applyBorder="1" applyAlignment="1"/>
    <xf numFmtId="42" fontId="42" fillId="0" borderId="0" xfId="0" applyNumberFormat="1" applyFont="1" applyBorder="1"/>
    <xf numFmtId="42" fontId="5" fillId="0" borderId="0" xfId="5616" applyNumberFormat="1" applyFont="1" applyFill="1" applyBorder="1" applyAlignment="1">
      <alignment wrapText="1"/>
    </xf>
    <xf numFmtId="0" fontId="5" fillId="0" borderId="0" xfId="5616" applyFill="1" applyBorder="1"/>
    <xf numFmtId="165" fontId="42" fillId="0" borderId="0" xfId="2" applyNumberFormat="1" applyFont="1" applyBorder="1"/>
    <xf numFmtId="166" fontId="42" fillId="0" borderId="0" xfId="0" applyNumberFormat="1" applyFont="1" applyBorder="1"/>
    <xf numFmtId="164" fontId="47" fillId="0" borderId="0" xfId="1" applyNumberFormat="1" applyFont="1"/>
    <xf numFmtId="2" fontId="0" fillId="0" borderId="20" xfId="0" applyNumberFormat="1" applyBorder="1"/>
    <xf numFmtId="2" fontId="0" fillId="0" borderId="27" xfId="0" applyNumberFormat="1" applyBorder="1"/>
    <xf numFmtId="176" fontId="0" fillId="0" borderId="27" xfId="0" applyNumberFormat="1" applyBorder="1"/>
    <xf numFmtId="172" fontId="0" fillId="0" borderId="27" xfId="0" applyNumberFormat="1" applyBorder="1"/>
    <xf numFmtId="0" fontId="0" fillId="3" borderId="27" xfId="0" applyFill="1" applyBorder="1"/>
    <xf numFmtId="37" fontId="24" fillId="0" borderId="3" xfId="0" applyNumberFormat="1" applyFont="1" applyBorder="1" applyAlignment="1">
      <alignment horizontal="center" vertical="center" wrapText="1"/>
    </xf>
    <xf numFmtId="0" fontId="60" fillId="0" borderId="3" xfId="0" applyFont="1" applyBorder="1" applyAlignment="1">
      <alignment horizontal="center" wrapText="1"/>
    </xf>
    <xf numFmtId="0" fontId="3" fillId="0" borderId="0" xfId="0" applyFont="1" applyFill="1" applyAlignment="1">
      <alignment horizontal="center"/>
    </xf>
    <xf numFmtId="0" fontId="24" fillId="0" borderId="0" xfId="0" applyFont="1" applyFill="1" applyAlignment="1">
      <alignment wrapText="1"/>
    </xf>
    <xf numFmtId="0" fontId="47" fillId="0" borderId="0" xfId="0" applyFont="1" applyFill="1" applyAlignment="1">
      <alignment horizontal="center"/>
    </xf>
    <xf numFmtId="37" fontId="24" fillId="0" borderId="3" xfId="0" applyNumberFormat="1" applyFont="1" applyFill="1" applyBorder="1" applyAlignment="1">
      <alignment horizontal="center" vertical="center" wrapText="1"/>
    </xf>
    <xf numFmtId="0" fontId="0" fillId="2" borderId="23" xfId="0" applyFill="1" applyBorder="1"/>
    <xf numFmtId="0" fontId="0" fillId="2" borderId="29" xfId="0" applyFill="1" applyBorder="1"/>
    <xf numFmtId="0" fontId="0" fillId="2" borderId="24" xfId="0" applyFill="1" applyBorder="1"/>
    <xf numFmtId="0" fontId="0" fillId="2" borderId="6" xfId="0" applyFill="1" applyBorder="1"/>
    <xf numFmtId="0" fontId="47" fillId="0" borderId="0" xfId="0" applyFont="1" applyAlignment="1">
      <alignment vertical="center" wrapText="1"/>
    </xf>
    <xf numFmtId="0" fontId="60" fillId="0" borderId="0" xfId="0" applyFont="1"/>
    <xf numFmtId="1" fontId="42" fillId="0" borderId="0" xfId="0" applyNumberFormat="1" applyFont="1" applyBorder="1"/>
    <xf numFmtId="1" fontId="42" fillId="0" borderId="0" xfId="0" applyNumberFormat="1" applyFont="1" applyFill="1" applyBorder="1"/>
    <xf numFmtId="164" fontId="42" fillId="0" borderId="0" xfId="1" applyNumberFormat="1" applyFont="1" applyBorder="1" applyAlignment="1" applyProtection="1">
      <alignment vertical="top" wrapText="1"/>
      <protection locked="0"/>
    </xf>
    <xf numFmtId="164" fontId="42" fillId="10" borderId="0" xfId="1" applyNumberFormat="1" applyFont="1" applyFill="1" applyBorder="1" applyAlignment="1" applyProtection="1">
      <alignment vertical="top" wrapText="1"/>
      <protection locked="0"/>
    </xf>
    <xf numFmtId="0" fontId="42" fillId="3" borderId="3" xfId="0" applyFont="1" applyFill="1" applyBorder="1" applyAlignment="1" applyProtection="1">
      <alignment vertical="top" wrapText="1"/>
      <protection locked="0"/>
    </xf>
    <xf numFmtId="172" fontId="43" fillId="3" borderId="3" xfId="0" applyNumberFormat="1" applyFont="1" applyFill="1" applyBorder="1" applyAlignment="1" applyProtection="1">
      <alignment vertical="top" wrapText="1"/>
      <protection locked="0"/>
    </xf>
    <xf numFmtId="0" fontId="0" fillId="43" borderId="0" xfId="0" applyFill="1"/>
    <xf numFmtId="171" fontId="30" fillId="8" borderId="5" xfId="0" applyNumberFormat="1" applyFont="1" applyFill="1" applyBorder="1" applyAlignment="1">
      <alignment vertical="center" wrapText="1"/>
    </xf>
    <xf numFmtId="0" fontId="96" fillId="0" borderId="5" xfId="0" applyFont="1" applyFill="1" applyBorder="1" applyAlignment="1" applyProtection="1">
      <alignment horizontal="left" vertical="top" indent="1"/>
      <protection locked="0"/>
    </xf>
    <xf numFmtId="171" fontId="0" fillId="0" borderId="5" xfId="0" applyNumberFormat="1" applyBorder="1"/>
    <xf numFmtId="171" fontId="0" fillId="7" borderId="0" xfId="0" applyNumberFormat="1" applyFont="1" applyFill="1"/>
    <xf numFmtId="177" fontId="42" fillId="0" borderId="0" xfId="0" applyNumberFormat="1" applyFont="1" applyBorder="1" applyAlignment="1" applyProtection="1">
      <alignment vertical="top" wrapText="1"/>
      <protection locked="0"/>
    </xf>
    <xf numFmtId="1" fontId="0" fillId="0" borderId="0" xfId="0" applyNumberFormat="1"/>
    <xf numFmtId="173" fontId="43" fillId="0" borderId="3" xfId="0" applyNumberFormat="1" applyFont="1" applyBorder="1" applyAlignment="1" applyProtection="1">
      <alignment vertical="top" wrapText="1"/>
      <protection locked="0"/>
    </xf>
    <xf numFmtId="0" fontId="23" fillId="0" borderId="0" xfId="0" applyFont="1" applyAlignment="1">
      <alignment horizontal="center"/>
    </xf>
    <xf numFmtId="10" fontId="0" fillId="0" borderId="0" xfId="0" applyNumberFormat="1"/>
    <xf numFmtId="0" fontId="6" fillId="0" borderId="1" xfId="0" applyFont="1" applyBorder="1" applyAlignment="1">
      <alignment horizontal="center" wrapText="1"/>
    </xf>
    <xf numFmtId="164" fontId="101" fillId="0" borderId="0" xfId="2281" applyNumberFormat="1" applyFont="1" applyFill="1" applyBorder="1"/>
    <xf numFmtId="0" fontId="102" fillId="0" borderId="0" xfId="0" applyFont="1"/>
    <xf numFmtId="0" fontId="54" fillId="0" borderId="0" xfId="0" applyFont="1" applyAlignment="1">
      <alignment horizontal="center"/>
    </xf>
    <xf numFmtId="0" fontId="54" fillId="0" borderId="2" xfId="0" applyFont="1" applyBorder="1" applyAlignment="1">
      <alignment horizontal="center"/>
    </xf>
    <xf numFmtId="0" fontId="54" fillId="0" borderId="0" xfId="0" applyFont="1"/>
    <xf numFmtId="164" fontId="55" fillId="0" borderId="0" xfId="2281" applyNumberFormat="1" applyFont="1" applyFill="1"/>
    <xf numFmtId="0" fontId="102" fillId="5" borderId="0" xfId="0" applyFont="1" applyFill="1"/>
    <xf numFmtId="164" fontId="55" fillId="5" borderId="0" xfId="2281" applyNumberFormat="1" applyFont="1" applyFill="1" applyBorder="1"/>
    <xf numFmtId="0" fontId="102" fillId="0" borderId="0" xfId="0" applyFont="1" applyFill="1"/>
    <xf numFmtId="0" fontId="103" fillId="0" borderId="0" xfId="0" applyFont="1"/>
    <xf numFmtId="0" fontId="55" fillId="0" borderId="0" xfId="0" applyFont="1" applyBorder="1"/>
    <xf numFmtId="0" fontId="102" fillId="5" borderId="0" xfId="0" applyFont="1" applyFill="1" applyBorder="1"/>
    <xf numFmtId="0" fontId="55" fillId="0" borderId="0" xfId="0" applyFont="1" applyFill="1" applyBorder="1"/>
    <xf numFmtId="164" fontId="55" fillId="0" borderId="0" xfId="2281" applyNumberFormat="1" applyFont="1" applyFill="1" applyBorder="1"/>
    <xf numFmtId="0" fontId="102" fillId="0" borderId="0" xfId="0" applyFont="1" applyFill="1" applyBorder="1"/>
    <xf numFmtId="0" fontId="55" fillId="5" borderId="0" xfId="0" applyFont="1" applyFill="1" applyBorder="1"/>
    <xf numFmtId="0" fontId="102" fillId="7" borderId="0" xfId="0" applyFont="1" applyFill="1" applyBorder="1"/>
    <xf numFmtId="164" fontId="55" fillId="7" borderId="0" xfId="2281" applyNumberFormat="1" applyFont="1" applyFill="1" applyBorder="1"/>
    <xf numFmtId="0" fontId="54" fillId="0" borderId="0" xfId="0" applyFont="1" applyFill="1" applyBorder="1"/>
    <xf numFmtId="164" fontId="54" fillId="0" borderId="3" xfId="144" applyNumberFormat="1" applyFont="1" applyFill="1" applyBorder="1"/>
    <xf numFmtId="0" fontId="103" fillId="0" borderId="0" xfId="0" applyFont="1" applyFill="1"/>
    <xf numFmtId="0" fontId="55" fillId="7" borderId="0" xfId="0" applyFont="1" applyFill="1" applyBorder="1"/>
    <xf numFmtId="0" fontId="54" fillId="7" borderId="0" xfId="0" applyFont="1" applyFill="1" applyBorder="1"/>
    <xf numFmtId="164" fontId="54" fillId="7" borderId="3" xfId="2281" applyNumberFormat="1" applyFont="1" applyFill="1" applyBorder="1"/>
    <xf numFmtId="164" fontId="54" fillId="0" borderId="1" xfId="2281" applyNumberFormat="1" applyFont="1" applyFill="1" applyBorder="1"/>
    <xf numFmtId="0" fontId="0" fillId="0" borderId="3" xfId="0" applyBorder="1" applyAlignment="1"/>
    <xf numFmtId="0" fontId="0" fillId="0" borderId="0" xfId="0" applyBorder="1" applyAlignment="1">
      <alignment horizontal="center"/>
    </xf>
    <xf numFmtId="0" fontId="0" fillId="0" borderId="0" xfId="0" applyBorder="1" applyAlignment="1">
      <alignment horizontal="left"/>
    </xf>
    <xf numFmtId="171" fontId="48" fillId="0" borderId="0" xfId="0" applyNumberFormat="1" applyFont="1"/>
    <xf numFmtId="49" fontId="0" fillId="0" borderId="0" xfId="0" quotePrefix="1" applyNumberFormat="1"/>
    <xf numFmtId="49" fontId="0" fillId="26" borderId="0" xfId="0" quotePrefix="1" applyNumberFormat="1" applyFill="1"/>
    <xf numFmtId="0" fontId="0" fillId="26" borderId="0" xfId="0" applyFill="1"/>
    <xf numFmtId="49" fontId="0" fillId="8" borderId="0" xfId="0" quotePrefix="1" applyNumberFormat="1" applyFill="1"/>
    <xf numFmtId="0" fontId="3" fillId="26" borderId="0" xfId="0" applyFont="1" applyFill="1"/>
    <xf numFmtId="171" fontId="48" fillId="21" borderId="0" xfId="0" applyNumberFormat="1" applyFont="1" applyFill="1"/>
    <xf numFmtId="49" fontId="0" fillId="0" borderId="0" xfId="0" quotePrefix="1" applyNumberFormat="1" applyFill="1"/>
    <xf numFmtId="49" fontId="0" fillId="26" borderId="0" xfId="0" quotePrefix="1" applyNumberFormat="1" applyFill="1" applyAlignment="1">
      <alignment horizontal="left" indent="1"/>
    </xf>
    <xf numFmtId="0" fontId="3" fillId="26" borderId="0" xfId="0" applyFont="1" applyFill="1" applyAlignment="1">
      <alignment horizontal="left" indent="1"/>
    </xf>
    <xf numFmtId="49" fontId="0" fillId="0" borderId="0" xfId="0" quotePrefix="1" applyNumberFormat="1" applyAlignment="1">
      <alignment horizontal="left" indent="1"/>
    </xf>
    <xf numFmtId="0" fontId="3" fillId="0" borderId="0" xfId="0" applyFont="1" applyAlignment="1">
      <alignment horizontal="left" indent="1"/>
    </xf>
    <xf numFmtId="49" fontId="48" fillId="0" borderId="0" xfId="0" applyNumberFormat="1" applyFont="1" applyFill="1"/>
    <xf numFmtId="49" fontId="0" fillId="0" borderId="5" xfId="0" quotePrefix="1" applyNumberFormat="1" applyBorder="1"/>
    <xf numFmtId="0" fontId="0" fillId="0" borderId="0" xfId="0" quotePrefix="1"/>
    <xf numFmtId="0" fontId="48" fillId="0" borderId="1" xfId="0" applyFont="1" applyBorder="1"/>
    <xf numFmtId="0" fontId="48" fillId="17" borderId="1" xfId="0" applyFont="1" applyFill="1" applyBorder="1"/>
    <xf numFmtId="171" fontId="0" fillId="3" borderId="0" xfId="0" applyNumberFormat="1" applyFont="1" applyFill="1"/>
    <xf numFmtId="0" fontId="47" fillId="5" borderId="0" xfId="0" applyFont="1" applyFill="1" applyAlignment="1">
      <alignment horizontal="center"/>
    </xf>
    <xf numFmtId="0" fontId="24" fillId="0" borderId="0" xfId="0" applyFont="1" applyFill="1" applyBorder="1" applyAlignment="1">
      <alignment horizontal="center" vertical="center" wrapText="1"/>
    </xf>
    <xf numFmtId="0" fontId="0" fillId="0" borderId="0" xfId="0" applyAlignment="1">
      <alignment horizontal="center" wrapText="1"/>
    </xf>
    <xf numFmtId="0" fontId="0" fillId="0" borderId="3" xfId="0" applyBorder="1" applyAlignment="1">
      <alignment horizontal="center" wrapText="1"/>
    </xf>
    <xf numFmtId="0" fontId="0" fillId="0" borderId="3" xfId="0" applyBorder="1" applyAlignment="1">
      <alignment wrapText="1"/>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Border="1" applyAlignment="1">
      <alignment horizontal="left" wrapText="1" indent="1"/>
    </xf>
    <xf numFmtId="0" fontId="0" fillId="0" borderId="0" xfId="0" applyFill="1" applyBorder="1" applyAlignment="1">
      <alignment horizontal="center" wrapText="1"/>
    </xf>
    <xf numFmtId="0" fontId="0" fillId="0" borderId="0" xfId="0" applyFill="1" applyBorder="1" applyAlignment="1">
      <alignment horizontal="left" wrapText="1" indent="1"/>
    </xf>
    <xf numFmtId="0" fontId="0" fillId="0" borderId="3" xfId="0" applyFill="1" applyBorder="1" applyAlignment="1">
      <alignment horizontal="center" wrapText="1"/>
    </xf>
    <xf numFmtId="166" fontId="0" fillId="0" borderId="4" xfId="87" applyNumberFormat="1" applyFont="1" applyBorder="1"/>
    <xf numFmtId="166" fontId="0" fillId="0" borderId="0" xfId="87" applyNumberFormat="1" applyFont="1" applyBorder="1"/>
    <xf numFmtId="166" fontId="0" fillId="0" borderId="2" xfId="87" applyNumberFormat="1" applyFont="1" applyBorder="1"/>
    <xf numFmtId="0" fontId="3" fillId="44" borderId="3" xfId="0" applyFont="1" applyFill="1" applyBorder="1" applyAlignment="1">
      <alignment vertical="center"/>
    </xf>
    <xf numFmtId="0" fontId="3" fillId="44" borderId="0" xfId="0" applyFont="1" applyFill="1" applyBorder="1" applyAlignment="1">
      <alignment vertical="center"/>
    </xf>
    <xf numFmtId="0" fontId="0" fillId="0" borderId="5" xfId="0" applyBorder="1" applyAlignment="1">
      <alignment horizontal="center"/>
    </xf>
    <xf numFmtId="0" fontId="0" fillId="4" borderId="0" xfId="0" applyFill="1"/>
    <xf numFmtId="44" fontId="0" fillId="0" borderId="0" xfId="87" applyFont="1"/>
    <xf numFmtId="44" fontId="0" fillId="3" borderId="6" xfId="87" applyFont="1" applyFill="1" applyBorder="1"/>
    <xf numFmtId="0" fontId="5" fillId="0" borderId="0" xfId="0" applyFont="1" applyBorder="1" applyAlignment="1">
      <alignment horizontal="left"/>
    </xf>
    <xf numFmtId="164" fontId="4" fillId="0" borderId="0" xfId="0" applyNumberFormat="1" applyFont="1" applyBorder="1"/>
    <xf numFmtId="0" fontId="35" fillId="0" borderId="0" xfId="0" applyFont="1" applyFill="1" applyBorder="1" applyAlignment="1">
      <alignment horizontal="left" indent="1"/>
    </xf>
    <xf numFmtId="172" fontId="43" fillId="0" borderId="0" xfId="0" applyNumberFormat="1" applyFont="1" applyFill="1" applyBorder="1"/>
    <xf numFmtId="0" fontId="0" fillId="3" borderId="0" xfId="0" applyFill="1" applyAlignment="1">
      <alignment horizontal="center"/>
    </xf>
    <xf numFmtId="0" fontId="3" fillId="2" borderId="0" xfId="0" applyFont="1" applyFill="1"/>
    <xf numFmtId="0" fontId="0" fillId="2" borderId="0" xfId="0" applyFill="1"/>
    <xf numFmtId="0" fontId="3" fillId="2" borderId="0" xfId="0" applyFont="1" applyFill="1" applyAlignment="1">
      <alignment horizontal="center"/>
    </xf>
    <xf numFmtId="0" fontId="0" fillId="2" borderId="3" xfId="0" applyFill="1" applyBorder="1" applyAlignment="1">
      <alignment horizontal="left" wrapText="1" indent="1"/>
    </xf>
    <xf numFmtId="0" fontId="0" fillId="2" borderId="3" xfId="0" applyFill="1" applyBorder="1" applyAlignment="1">
      <alignment horizontal="center" wrapText="1"/>
    </xf>
    <xf numFmtId="0" fontId="3" fillId="2" borderId="3" xfId="0" applyFont="1" applyFill="1" applyBorder="1" applyAlignment="1">
      <alignment horizontal="left" wrapText="1"/>
    </xf>
    <xf numFmtId="0" fontId="95" fillId="44" borderId="6" xfId="0" applyFont="1" applyFill="1" applyBorder="1"/>
    <xf numFmtId="164" fontId="0" fillId="2" borderId="9" xfId="1" applyNumberFormat="1" applyFont="1" applyFill="1" applyBorder="1" applyAlignment="1">
      <alignment horizontal="left" wrapText="1" indent="1"/>
    </xf>
    <xf numFmtId="164" fontId="0" fillId="2" borderId="9" xfId="1" applyNumberFormat="1" applyFont="1" applyFill="1" applyBorder="1" applyAlignment="1">
      <alignment horizontal="center" wrapText="1"/>
    </xf>
    <xf numFmtId="164" fontId="3" fillId="2" borderId="9" xfId="1" applyNumberFormat="1" applyFont="1" applyFill="1" applyBorder="1" applyAlignment="1">
      <alignment horizontal="left" wrapText="1"/>
    </xf>
    <xf numFmtId="0" fontId="0" fillId="0" borderId="0" xfId="0" applyBorder="1" applyAlignment="1">
      <alignment wrapText="1"/>
    </xf>
    <xf numFmtId="0" fontId="0" fillId="0" borderId="9" xfId="0" applyBorder="1"/>
    <xf numFmtId="41" fontId="42" fillId="3" borderId="0" xfId="0" applyNumberFormat="1" applyFont="1" applyFill="1" applyBorder="1"/>
    <xf numFmtId="175" fontId="43" fillId="0" borderId="0" xfId="0" applyNumberFormat="1" applyFont="1" applyBorder="1" applyAlignment="1" applyProtection="1">
      <alignment vertical="top" wrapText="1"/>
      <protection locked="0"/>
    </xf>
    <xf numFmtId="42" fontId="75" fillId="0" borderId="0" xfId="0" applyNumberFormat="1" applyFont="1" applyBorder="1"/>
    <xf numFmtId="172" fontId="75" fillId="0" borderId="0" xfId="0" applyNumberFormat="1" applyFont="1" applyFill="1" applyBorder="1" applyAlignment="1" applyProtection="1">
      <alignment vertical="top" wrapText="1"/>
      <protection locked="0"/>
    </xf>
    <xf numFmtId="172" fontId="75" fillId="0" borderId="0" xfId="0" applyNumberFormat="1" applyFont="1" applyFill="1" applyBorder="1"/>
    <xf numFmtId="172" fontId="75" fillId="10" borderId="0" xfId="0" applyNumberFormat="1" applyFont="1" applyFill="1" applyBorder="1"/>
    <xf numFmtId="172" fontId="92" fillId="0" borderId="3" xfId="0" applyNumberFormat="1" applyFont="1" applyFill="1" applyBorder="1" applyAlignment="1" applyProtection="1">
      <alignment vertical="top" wrapText="1"/>
      <protection locked="0"/>
    </xf>
    <xf numFmtId="172" fontId="92" fillId="0" borderId="3" xfId="0" applyNumberFormat="1" applyFont="1" applyBorder="1" applyAlignment="1" applyProtection="1">
      <alignment vertical="top" wrapText="1"/>
      <protection locked="0"/>
    </xf>
    <xf numFmtId="172" fontId="104" fillId="0" borderId="0" xfId="0" applyNumberFormat="1" applyFont="1" applyBorder="1" applyAlignment="1" applyProtection="1">
      <alignment vertical="top" wrapText="1"/>
      <protection locked="0"/>
    </xf>
    <xf numFmtId="172" fontId="104" fillId="10" borderId="0" xfId="0" applyNumberFormat="1" applyFont="1" applyFill="1" applyBorder="1" applyAlignment="1" applyProtection="1">
      <alignment vertical="top" wrapText="1"/>
      <protection locked="0"/>
    </xf>
    <xf numFmtId="0" fontId="104" fillId="0" borderId="0" xfId="0" applyFont="1" applyBorder="1" applyAlignment="1" applyProtection="1">
      <alignment vertical="top" wrapText="1"/>
      <protection locked="0"/>
    </xf>
    <xf numFmtId="0" fontId="104" fillId="10" borderId="0" xfId="0" applyFont="1" applyFill="1" applyBorder="1" applyAlignment="1" applyProtection="1">
      <alignment vertical="top" wrapText="1"/>
      <protection locked="0"/>
    </xf>
    <xf numFmtId="0" fontId="0" fillId="0" borderId="0" xfId="0" applyFill="1" applyBorder="1" applyAlignment="1">
      <alignment horizontal="center"/>
    </xf>
    <xf numFmtId="0" fontId="105" fillId="0" borderId="0" xfId="0" applyFont="1"/>
    <xf numFmtId="172" fontId="97" fillId="17" borderId="0" xfId="0" applyNumberFormat="1" applyFont="1" applyFill="1" applyAlignment="1" applyProtection="1">
      <alignment vertical="top" wrapText="1"/>
      <protection locked="0"/>
    </xf>
    <xf numFmtId="0" fontId="0" fillId="0" borderId="2" xfId="0" applyBorder="1" applyAlignment="1">
      <alignment horizontal="center"/>
    </xf>
    <xf numFmtId="0" fontId="0" fillId="0" borderId="2" xfId="0" applyFill="1" applyBorder="1" applyAlignment="1">
      <alignment horizontal="center"/>
    </xf>
    <xf numFmtId="164" fontId="106" fillId="0" borderId="0" xfId="1" applyNumberFormat="1" applyFont="1"/>
    <xf numFmtId="164" fontId="107" fillId="0" borderId="0" xfId="1" applyNumberFormat="1" applyFont="1"/>
    <xf numFmtId="164" fontId="106" fillId="38" borderId="0" xfId="1" applyNumberFormat="1" applyFont="1" applyFill="1"/>
    <xf numFmtId="164" fontId="108" fillId="0" borderId="0" xfId="1" applyNumberFormat="1" applyFont="1" applyBorder="1"/>
    <xf numFmtId="0" fontId="5" fillId="0" borderId="0" xfId="5616" applyFont="1" applyFill="1" applyBorder="1"/>
    <xf numFmtId="164" fontId="108" fillId="0" borderId="1" xfId="1" applyNumberFormat="1" applyFont="1" applyBorder="1"/>
    <xf numFmtId="42" fontId="0" fillId="0" borderId="0" xfId="0" applyNumberFormat="1"/>
    <xf numFmtId="42" fontId="42" fillId="4" borderId="0" xfId="0" applyNumberFormat="1" applyFont="1" applyFill="1" applyBorder="1"/>
    <xf numFmtId="0" fontId="104" fillId="0" borderId="5" xfId="0" applyFont="1" applyBorder="1" applyAlignment="1" applyProtection="1">
      <alignment vertical="top" wrapText="1"/>
      <protection locked="0"/>
    </xf>
    <xf numFmtId="172" fontId="105" fillId="0" borderId="0" xfId="0" applyNumberFormat="1" applyFont="1"/>
    <xf numFmtId="0" fontId="71" fillId="33" borderId="54" xfId="0" applyFont="1" applyFill="1" applyBorder="1" applyAlignment="1" applyProtection="1">
      <alignment horizontal="center" vertical="top" wrapText="1" readingOrder="1"/>
      <protection locked="0"/>
    </xf>
    <xf numFmtId="172" fontId="109" fillId="0" borderId="0" xfId="0" applyNumberFormat="1" applyFont="1"/>
    <xf numFmtId="0" fontId="109" fillId="0" borderId="0" xfId="0" applyFont="1"/>
    <xf numFmtId="1" fontId="109" fillId="0" borderId="0" xfId="0" applyNumberFormat="1" applyFont="1"/>
    <xf numFmtId="177" fontId="104" fillId="0" borderId="0" xfId="0" applyNumberFormat="1" applyFont="1" applyFill="1" applyBorder="1" applyAlignment="1" applyProtection="1">
      <alignment vertical="top" wrapText="1"/>
      <protection locked="0"/>
    </xf>
    <xf numFmtId="177" fontId="104" fillId="0" borderId="0" xfId="0" applyNumberFormat="1" applyFont="1" applyFill="1" applyBorder="1"/>
    <xf numFmtId="177" fontId="104" fillId="10" borderId="0" xfId="0" applyNumberFormat="1" applyFont="1" applyFill="1" applyBorder="1"/>
    <xf numFmtId="172" fontId="90" fillId="0" borderId="3" xfId="0" applyNumberFormat="1" applyFont="1" applyFill="1" applyBorder="1" applyAlignment="1" applyProtection="1">
      <alignment vertical="top" wrapText="1"/>
      <protection locked="0"/>
    </xf>
    <xf numFmtId="164" fontId="110" fillId="5" borderId="0" xfId="2281" applyNumberFormat="1" applyFont="1" applyFill="1"/>
    <xf numFmtId="164" fontId="110" fillId="0" borderId="0" xfId="2281" applyNumberFormat="1" applyFont="1" applyFill="1"/>
    <xf numFmtId="164" fontId="110" fillId="0" borderId="0" xfId="2281" applyNumberFormat="1" applyFont="1" applyFill="1" applyBorder="1"/>
    <xf numFmtId="164" fontId="110" fillId="0" borderId="0" xfId="1" applyNumberFormat="1" applyFont="1" applyFill="1" applyBorder="1"/>
    <xf numFmtId="164" fontId="110" fillId="0" borderId="0" xfId="1" applyNumberFormat="1" applyFont="1" applyFill="1"/>
    <xf numFmtId="164" fontId="110" fillId="7" borderId="0" xfId="1" applyNumberFormat="1" applyFont="1" applyFill="1"/>
    <xf numFmtId="164" fontId="110" fillId="7" borderId="0" xfId="2281" applyNumberFormat="1" applyFont="1" applyFill="1"/>
    <xf numFmtId="164" fontId="110" fillId="29" borderId="3" xfId="0" applyNumberFormat="1" applyFont="1" applyFill="1" applyBorder="1"/>
    <xf numFmtId="0" fontId="109" fillId="0" borderId="0" xfId="0" applyFont="1" applyFill="1"/>
    <xf numFmtId="172" fontId="0" fillId="25" borderId="4" xfId="0" applyNumberFormat="1" applyFill="1" applyBorder="1"/>
    <xf numFmtId="0" fontId="0" fillId="25" borderId="4" xfId="0" applyFill="1" applyBorder="1"/>
    <xf numFmtId="0" fontId="0" fillId="43" borderId="0" xfId="0" applyFill="1" applyBorder="1" applyAlignment="1">
      <alignment horizontal="left" indent="1"/>
    </xf>
    <xf numFmtId="0" fontId="0" fillId="43" borderId="0" xfId="0" applyFill="1" applyBorder="1"/>
    <xf numFmtId="172" fontId="0" fillId="43" borderId="0" xfId="0" applyNumberFormat="1" applyFill="1" applyBorder="1"/>
    <xf numFmtId="172" fontId="0" fillId="0" borderId="0" xfId="0" applyNumberFormat="1" applyFill="1" applyBorder="1"/>
    <xf numFmtId="172" fontId="0" fillId="25" borderId="0" xfId="0" applyNumberFormat="1" applyFill="1" applyBorder="1"/>
    <xf numFmtId="0" fontId="0" fillId="25" borderId="0" xfId="0" applyFill="1" applyBorder="1"/>
    <xf numFmtId="0" fontId="0" fillId="30" borderId="0" xfId="0" applyFill="1" applyBorder="1" applyAlignment="1">
      <alignment horizontal="left" indent="1"/>
    </xf>
    <xf numFmtId="172" fontId="0" fillId="30" borderId="0" xfId="0" applyNumberFormat="1" applyFill="1" applyBorder="1"/>
    <xf numFmtId="0" fontId="0" fillId="43" borderId="0" xfId="0" applyFill="1" applyAlignment="1">
      <alignment horizontal="left" indent="1"/>
    </xf>
    <xf numFmtId="172" fontId="0" fillId="43" borderId="0" xfId="0" applyNumberFormat="1" applyFill="1"/>
    <xf numFmtId="0" fontId="44" fillId="9" borderId="34" xfId="0" applyFont="1" applyFill="1" applyBorder="1" applyAlignment="1" applyProtection="1">
      <alignment horizontal="left" vertical="top" indent="1"/>
      <protection locked="0"/>
    </xf>
    <xf numFmtId="164" fontId="42" fillId="9" borderId="0" xfId="1" applyNumberFormat="1" applyFont="1" applyFill="1" applyBorder="1" applyAlignment="1" applyProtection="1">
      <alignment vertical="top" wrapText="1"/>
      <protection locked="0"/>
    </xf>
    <xf numFmtId="0" fontId="42" fillId="9" borderId="0" xfId="0" applyFont="1" applyFill="1" applyBorder="1" applyAlignment="1" applyProtection="1">
      <alignment vertical="top" wrapText="1"/>
      <protection locked="0"/>
    </xf>
    <xf numFmtId="172" fontId="42" fillId="3" borderId="0" xfId="0" applyNumberFormat="1" applyFont="1" applyFill="1" applyBorder="1" applyAlignment="1" applyProtection="1">
      <alignment vertical="center" wrapText="1"/>
      <protection locked="0"/>
    </xf>
    <xf numFmtId="172" fontId="42" fillId="3" borderId="3" xfId="0" applyNumberFormat="1" applyFont="1" applyFill="1" applyBorder="1" applyAlignment="1" applyProtection="1">
      <alignment vertical="top" wrapText="1"/>
      <protection locked="0"/>
    </xf>
    <xf numFmtId="3" fontId="0" fillId="0" borderId="0" xfId="0" applyNumberFormat="1" applyAlignment="1">
      <alignment horizontal="center"/>
    </xf>
    <xf numFmtId="0" fontId="71" fillId="33" borderId="0" xfId="0" applyFont="1" applyFill="1" applyBorder="1" applyAlignment="1" applyProtection="1">
      <alignment horizontal="center" vertical="top" wrapText="1" readingOrder="1"/>
      <protection locked="0"/>
    </xf>
    <xf numFmtId="164" fontId="66" fillId="0" borderId="0" xfId="0" applyNumberFormat="1" applyFont="1" applyFill="1"/>
    <xf numFmtId="164" fontId="41" fillId="3" borderId="0" xfId="0" applyNumberFormat="1" applyFont="1" applyFill="1" applyBorder="1"/>
    <xf numFmtId="164" fontId="44" fillId="3" borderId="0" xfId="0" applyNumberFormat="1" applyFont="1" applyFill="1" applyBorder="1"/>
    <xf numFmtId="41" fontId="17" fillId="4" borderId="0" xfId="142" applyNumberFormat="1" applyFont="1" applyFill="1"/>
    <xf numFmtId="164" fontId="41" fillId="4" borderId="0" xfId="0" applyNumberFormat="1" applyFont="1" applyFill="1"/>
    <xf numFmtId="41" fontId="17" fillId="4" borderId="0" xfId="0" applyNumberFormat="1" applyFont="1" applyFill="1"/>
    <xf numFmtId="0" fontId="20" fillId="0" borderId="0" xfId="142" applyFont="1" applyBorder="1" applyAlignment="1">
      <alignment horizontal="left"/>
    </xf>
    <xf numFmtId="0" fontId="17" fillId="40" borderId="0" xfId="142" applyFont="1" applyFill="1"/>
    <xf numFmtId="41" fontId="21" fillId="44" borderId="0" xfId="142" applyNumberFormat="1" applyFont="1" applyFill="1" applyBorder="1" applyAlignment="1">
      <alignment vertical="center"/>
    </xf>
    <xf numFmtId="41" fontId="25" fillId="0" borderId="0" xfId="142" applyNumberFormat="1" applyFont="1" applyFill="1"/>
    <xf numFmtId="41" fontId="17" fillId="6" borderId="0" xfId="142" applyNumberFormat="1" applyFont="1" applyFill="1" applyBorder="1" applyAlignment="1">
      <alignment vertical="center"/>
    </xf>
    <xf numFmtId="165" fontId="47" fillId="0" borderId="0" xfId="2" applyNumberFormat="1" applyFont="1"/>
    <xf numFmtId="164" fontId="47" fillId="34" borderId="0" xfId="1" applyNumberFormat="1" applyFont="1" applyFill="1"/>
    <xf numFmtId="37" fontId="24" fillId="3" borderId="0" xfId="0" applyNumberFormat="1" applyFont="1" applyFill="1" applyAlignment="1">
      <alignment vertical="center"/>
    </xf>
    <xf numFmtId="41" fontId="45" fillId="0" borderId="0" xfId="0" applyNumberFormat="1" applyFont="1"/>
    <xf numFmtId="0" fontId="3" fillId="0" borderId="26" xfId="0" applyFont="1" applyBorder="1" applyAlignment="1">
      <alignment wrapText="1"/>
    </xf>
    <xf numFmtId="0" fontId="3" fillId="0" borderId="26" xfId="0" applyFont="1" applyBorder="1" applyAlignment="1">
      <alignment horizontal="left" indent="1"/>
    </xf>
    <xf numFmtId="165" fontId="3" fillId="0" borderId="0" xfId="0" applyNumberFormat="1" applyFont="1" applyFill="1" applyBorder="1"/>
    <xf numFmtId="166" fontId="3" fillId="0" borderId="0" xfId="0" applyNumberFormat="1" applyFont="1" applyBorder="1"/>
    <xf numFmtId="166" fontId="3" fillId="3" borderId="0" xfId="87" applyNumberFormat="1" applyFont="1" applyFill="1" applyBorder="1"/>
    <xf numFmtId="0" fontId="0" fillId="0" borderId="9" xfId="0" applyFont="1" applyFill="1" applyBorder="1" applyAlignment="1">
      <alignment horizontal="left"/>
    </xf>
    <xf numFmtId="166" fontId="42" fillId="0" borderId="9" xfId="0" applyNumberFormat="1" applyFont="1" applyFill="1" applyBorder="1"/>
    <xf numFmtId="0" fontId="0" fillId="0" borderId="0" xfId="0" applyFont="1" applyFill="1" applyAlignment="1">
      <alignment horizontal="left" indent="1"/>
    </xf>
    <xf numFmtId="166" fontId="42" fillId="0" borderId="9" xfId="0" applyNumberFormat="1" applyFont="1" applyFill="1" applyBorder="1" applyAlignment="1">
      <alignment horizontal="left" indent="1"/>
    </xf>
    <xf numFmtId="166" fontId="3" fillId="10" borderId="9" xfId="0" applyNumberFormat="1" applyFont="1" applyFill="1" applyBorder="1" applyAlignment="1">
      <alignment horizontal="left" indent="1"/>
    </xf>
    <xf numFmtId="0" fontId="3" fillId="10" borderId="9" xfId="0" applyFont="1" applyFill="1" applyBorder="1" applyAlignment="1">
      <alignment horizontal="left"/>
    </xf>
    <xf numFmtId="0" fontId="47" fillId="0" borderId="20" xfId="0" applyFont="1" applyBorder="1"/>
    <xf numFmtId="0" fontId="47" fillId="0" borderId="26" xfId="0" applyFont="1" applyBorder="1" applyAlignment="1">
      <alignment horizontal="left" indent="1"/>
    </xf>
    <xf numFmtId="41" fontId="47" fillId="0" borderId="27" xfId="0" applyNumberFormat="1" applyFont="1" applyBorder="1"/>
    <xf numFmtId="0" fontId="47" fillId="0" borderId="21" xfId="0" applyFont="1" applyBorder="1" applyAlignment="1">
      <alignment horizontal="left" indent="1"/>
    </xf>
    <xf numFmtId="41" fontId="0" fillId="0" borderId="22" xfId="0" applyNumberFormat="1" applyBorder="1"/>
    <xf numFmtId="0" fontId="47" fillId="0" borderId="19" xfId="0" applyFont="1" applyFill="1" applyBorder="1" applyAlignment="1">
      <alignment horizontal="left"/>
    </xf>
    <xf numFmtId="0" fontId="47" fillId="0" borderId="28" xfId="0" applyFont="1" applyBorder="1"/>
    <xf numFmtId="0" fontId="60" fillId="0" borderId="3" xfId="0" applyFont="1" applyFill="1" applyBorder="1"/>
    <xf numFmtId="166" fontId="3" fillId="0" borderId="3" xfId="87" applyNumberFormat="1" applyFont="1" applyBorder="1"/>
    <xf numFmtId="166" fontId="111" fillId="0" borderId="0" xfId="87" applyNumberFormat="1" applyFont="1"/>
    <xf numFmtId="164" fontId="94" fillId="0" borderId="0" xfId="1" applyNumberFormat="1" applyFont="1" applyFill="1"/>
    <xf numFmtId="164" fontId="60" fillId="0" borderId="0" xfId="0" applyNumberFormat="1" applyFont="1" applyFill="1"/>
    <xf numFmtId="164" fontId="101" fillId="0" borderId="0" xfId="1" applyNumberFormat="1" applyFont="1" applyFill="1"/>
    <xf numFmtId="0" fontId="23" fillId="0" borderId="0" xfId="0" applyFont="1" applyFill="1" applyBorder="1" applyAlignment="1">
      <alignment horizontal="left" indent="1"/>
    </xf>
    <xf numFmtId="164" fontId="47" fillId="0" borderId="20" xfId="0" applyNumberFormat="1" applyFont="1" applyBorder="1" applyAlignment="1">
      <alignment horizontal="center"/>
    </xf>
    <xf numFmtId="164" fontId="112" fillId="0" borderId="0" xfId="0" applyNumberFormat="1" applyFont="1"/>
    <xf numFmtId="0" fontId="64" fillId="0" borderId="0" xfId="0" applyFont="1" applyFill="1"/>
    <xf numFmtId="0" fontId="30" fillId="0" borderId="19" xfId="0" applyFont="1" applyBorder="1" applyAlignment="1"/>
    <xf numFmtId="0" fontId="30" fillId="0" borderId="25" xfId="0" applyFont="1" applyBorder="1" applyAlignment="1"/>
    <xf numFmtId="10" fontId="30" fillId="4" borderId="20" xfId="0" applyNumberFormat="1" applyFont="1" applyFill="1" applyBorder="1" applyAlignment="1"/>
    <xf numFmtId="0" fontId="30" fillId="0" borderId="21" xfId="0" applyFont="1" applyBorder="1" applyAlignment="1"/>
    <xf numFmtId="0" fontId="30" fillId="0" borderId="28" xfId="0" applyFont="1" applyBorder="1" applyAlignment="1"/>
    <xf numFmtId="10" fontId="30" fillId="4" borderId="22" xfId="0" applyNumberFormat="1" applyFont="1" applyFill="1" applyBorder="1" applyAlignment="1"/>
    <xf numFmtId="37" fontId="24" fillId="17" borderId="0" xfId="0" applyNumberFormat="1" applyFont="1" applyFill="1" applyAlignment="1">
      <alignment vertical="center"/>
    </xf>
    <xf numFmtId="37" fontId="24" fillId="17" borderId="0" xfId="0" applyNumberFormat="1" applyFont="1" applyFill="1" applyAlignment="1">
      <alignment horizontal="center" vertical="center" wrapText="1"/>
    </xf>
    <xf numFmtId="164" fontId="5" fillId="0" borderId="0" xfId="0" applyNumberFormat="1" applyFont="1" applyProtection="1">
      <protection locked="0"/>
    </xf>
    <xf numFmtId="0" fontId="49" fillId="0" borderId="0" xfId="0" applyFont="1" applyFill="1" applyBorder="1" applyAlignment="1">
      <alignment horizontal="left" vertical="center" indent="1"/>
    </xf>
    <xf numFmtId="0" fontId="60" fillId="7" borderId="0" xfId="0" applyFont="1" applyFill="1" applyAlignment="1">
      <alignment vertical="center"/>
    </xf>
    <xf numFmtId="41" fontId="60" fillId="0" borderId="4" xfId="0" applyNumberFormat="1" applyFont="1" applyBorder="1"/>
    <xf numFmtId="165" fontId="60" fillId="0" borderId="4" xfId="0" applyNumberFormat="1" applyFont="1" applyBorder="1"/>
    <xf numFmtId="0" fontId="60" fillId="0" borderId="5" xfId="0" applyFont="1" applyBorder="1"/>
    <xf numFmtId="165" fontId="60" fillId="0" borderId="5" xfId="2" applyNumberFormat="1" applyFont="1" applyBorder="1"/>
    <xf numFmtId="10" fontId="60" fillId="0" borderId="5" xfId="2" applyNumberFormat="1" applyFont="1" applyBorder="1"/>
    <xf numFmtId="41" fontId="27" fillId="3" borderId="0" xfId="142" applyNumberFormat="1" applyFont="1" applyFill="1" applyAlignment="1">
      <alignment vertical="center"/>
    </xf>
    <xf numFmtId="0" fontId="24" fillId="25" borderId="9" xfId="143" applyFont="1" applyFill="1" applyBorder="1" applyAlignment="1">
      <alignment horizontal="center" wrapText="1"/>
    </xf>
    <xf numFmtId="41" fontId="26" fillId="25" borderId="0" xfId="142" applyNumberFormat="1" applyFont="1" applyFill="1" applyAlignment="1">
      <alignment vertical="center"/>
    </xf>
    <xf numFmtId="41" fontId="27" fillId="25" borderId="0" xfId="142" applyNumberFormat="1" applyFont="1" applyFill="1" applyAlignment="1">
      <alignment vertical="center"/>
    </xf>
    <xf numFmtId="41" fontId="27" fillId="25" borderId="0" xfId="142" applyNumberFormat="1" applyFont="1" applyFill="1" applyBorder="1" applyAlignment="1">
      <alignment vertical="center"/>
    </xf>
    <xf numFmtId="41" fontId="27" fillId="3" borderId="0" xfId="142" applyNumberFormat="1" applyFont="1" applyFill="1" applyBorder="1" applyAlignment="1">
      <alignment vertical="center"/>
    </xf>
    <xf numFmtId="164" fontId="3" fillId="0" borderId="0" xfId="0" applyNumberFormat="1" applyFont="1"/>
    <xf numFmtId="10" fontId="0" fillId="0" borderId="0" xfId="0" applyNumberFormat="1" applyBorder="1"/>
    <xf numFmtId="10" fontId="0" fillId="0" borderId="25" xfId="0" applyNumberFormat="1" applyBorder="1"/>
    <xf numFmtId="10" fontId="3" fillId="19" borderId="28" xfId="0" applyNumberFormat="1" applyFont="1" applyFill="1" applyBorder="1"/>
    <xf numFmtId="0" fontId="17" fillId="0" borderId="26" xfId="142" applyFont="1" applyFill="1" applyBorder="1" applyAlignment="1">
      <alignment horizontal="left" indent="1"/>
    </xf>
    <xf numFmtId="41" fontId="17" fillId="4" borderId="27" xfId="142" applyNumberFormat="1" applyFont="1" applyFill="1" applyBorder="1"/>
    <xf numFmtId="164" fontId="41" fillId="4" borderId="27" xfId="0" applyNumberFormat="1" applyFont="1" applyFill="1" applyBorder="1"/>
    <xf numFmtId="0" fontId="17" fillId="0" borderId="21" xfId="142" applyFont="1" applyFill="1" applyBorder="1" applyAlignment="1">
      <alignment horizontal="left" indent="1"/>
    </xf>
    <xf numFmtId="41" fontId="3" fillId="0" borderId="22" xfId="0" applyNumberFormat="1" applyFont="1" applyBorder="1"/>
    <xf numFmtId="0" fontId="17" fillId="0" borderId="23" xfId="142" applyFont="1" applyFill="1" applyBorder="1" applyAlignment="1">
      <alignment horizontal="left" indent="1"/>
    </xf>
    <xf numFmtId="3" fontId="3" fillId="0" borderId="24" xfId="0" applyNumberFormat="1" applyFont="1" applyBorder="1"/>
    <xf numFmtId="0" fontId="43" fillId="0" borderId="0" xfId="0" applyFont="1" applyAlignment="1">
      <alignment horizontal="center"/>
    </xf>
    <xf numFmtId="0" fontId="47" fillId="5" borderId="0" xfId="0" applyFont="1" applyFill="1" applyBorder="1" applyAlignment="1">
      <alignment horizontal="left" indent="1"/>
    </xf>
    <xf numFmtId="0" fontId="47" fillId="0" borderId="0" xfId="0" applyFont="1" applyFill="1" applyBorder="1" applyAlignment="1">
      <alignment horizontal="left" indent="2"/>
    </xf>
    <xf numFmtId="166" fontId="42" fillId="0" borderId="27" xfId="0" applyNumberFormat="1" applyFont="1" applyBorder="1"/>
    <xf numFmtId="0" fontId="4" fillId="0" borderId="0" xfId="0" applyFont="1" applyProtection="1">
      <protection locked="0"/>
    </xf>
    <xf numFmtId="0" fontId="0" fillId="11" borderId="0" xfId="0" applyFont="1" applyFill="1" applyProtection="1">
      <protection locked="0"/>
    </xf>
    <xf numFmtId="41" fontId="60" fillId="0" borderId="4" xfId="0" applyNumberFormat="1" applyFont="1" applyFill="1" applyBorder="1"/>
    <xf numFmtId="166" fontId="5" fillId="0" borderId="0" xfId="0" applyNumberFormat="1" applyFont="1"/>
    <xf numFmtId="166" fontId="5" fillId="0" borderId="5" xfId="0" applyNumberFormat="1" applyFont="1" applyBorder="1"/>
    <xf numFmtId="15" fontId="0" fillId="0" borderId="0" xfId="0" applyNumberFormat="1" applyFont="1" applyAlignment="1" applyProtection="1">
      <alignment horizontal="center" vertical="center"/>
      <protection locked="0"/>
    </xf>
    <xf numFmtId="165" fontId="0" fillId="0" borderId="25" xfId="2" applyNumberFormat="1" applyFont="1" applyBorder="1" applyAlignment="1" applyProtection="1">
      <alignment horizontal="center"/>
      <protection locked="0"/>
    </xf>
    <xf numFmtId="165" fontId="0" fillId="0" borderId="20" xfId="2" applyNumberFormat="1" applyFont="1" applyBorder="1" applyAlignment="1" applyProtection="1">
      <alignment horizontal="center"/>
      <protection locked="0"/>
    </xf>
    <xf numFmtId="165" fontId="0" fillId="0" borderId="0" xfId="2" applyNumberFormat="1" applyFont="1" applyBorder="1" applyAlignment="1" applyProtection="1">
      <alignment horizontal="center"/>
      <protection locked="0"/>
    </xf>
    <xf numFmtId="165" fontId="0" fillId="0" borderId="27" xfId="2" applyNumberFormat="1" applyFont="1" applyBorder="1" applyAlignment="1" applyProtection="1">
      <alignment horizontal="center"/>
      <protection locked="0"/>
    </xf>
    <xf numFmtId="165" fontId="0" fillId="0" borderId="28" xfId="2" applyNumberFormat="1" applyFont="1" applyBorder="1" applyAlignment="1" applyProtection="1">
      <alignment horizontal="center"/>
      <protection locked="0"/>
    </xf>
    <xf numFmtId="165" fontId="0" fillId="24" borderId="22" xfId="2" applyNumberFormat="1" applyFont="1" applyFill="1" applyBorder="1" applyAlignment="1" applyProtection="1">
      <alignment horizontal="center"/>
      <protection locked="0"/>
    </xf>
    <xf numFmtId="0" fontId="0" fillId="0" borderId="20" xfId="0" applyFont="1" applyBorder="1" applyProtection="1">
      <protection locked="0"/>
    </xf>
    <xf numFmtId="165" fontId="0" fillId="0" borderId="0" xfId="0" applyNumberFormat="1" applyFont="1" applyBorder="1" applyProtection="1">
      <protection locked="0"/>
    </xf>
    <xf numFmtId="0" fontId="0" fillId="0" borderId="27" xfId="0" applyFont="1" applyBorder="1" applyProtection="1">
      <protection locked="0"/>
    </xf>
    <xf numFmtId="0" fontId="0" fillId="0" borderId="22" xfId="0" applyFont="1" applyBorder="1" applyProtection="1">
      <protection locked="0"/>
    </xf>
    <xf numFmtId="9" fontId="0" fillId="0" borderId="0" xfId="0" applyNumberFormat="1" applyFont="1" applyProtection="1">
      <protection locked="0"/>
    </xf>
    <xf numFmtId="166" fontId="0" fillId="0" borderId="0" xfId="0" applyNumberFormat="1" applyFont="1" applyProtection="1">
      <protection locked="0"/>
    </xf>
    <xf numFmtId="44" fontId="0" fillId="0" borderId="0" xfId="0" applyNumberFormat="1" applyFont="1" applyProtection="1">
      <protection locked="0"/>
    </xf>
    <xf numFmtId="0" fontId="3" fillId="10" borderId="19" xfId="0" applyFont="1" applyFill="1" applyBorder="1" applyAlignment="1" applyProtection="1">
      <alignment horizontal="center" vertical="center"/>
      <protection locked="0"/>
    </xf>
    <xf numFmtId="166" fontId="3" fillId="10" borderId="25" xfId="0" applyNumberFormat="1" applyFont="1" applyFill="1" applyBorder="1" applyAlignment="1" applyProtection="1">
      <alignment vertical="center"/>
      <protection locked="0"/>
    </xf>
    <xf numFmtId="0" fontId="0" fillId="10" borderId="20" xfId="0" applyFont="1" applyFill="1" applyBorder="1" applyAlignment="1" applyProtection="1">
      <alignment horizontal="center" vertical="center"/>
      <protection locked="0"/>
    </xf>
    <xf numFmtId="0" fontId="3" fillId="10" borderId="21" xfId="0" applyFont="1" applyFill="1" applyBorder="1" applyAlignment="1" applyProtection="1">
      <alignment horizontal="center" vertical="center"/>
      <protection locked="0"/>
    </xf>
    <xf numFmtId="166" fontId="3" fillId="21" borderId="28" xfId="0" applyNumberFormat="1" applyFont="1" applyFill="1" applyBorder="1" applyAlignment="1" applyProtection="1">
      <alignment vertical="center"/>
      <protection locked="0"/>
    </xf>
    <xf numFmtId="0" fontId="0" fillId="10" borderId="22" xfId="0" applyFont="1" applyFill="1" applyBorder="1" applyProtection="1">
      <protection locked="0"/>
    </xf>
    <xf numFmtId="0" fontId="0" fillId="0" borderId="19" xfId="0" applyFont="1" applyFill="1" applyBorder="1" applyProtection="1">
      <protection locked="0"/>
    </xf>
    <xf numFmtId="0" fontId="0" fillId="0" borderId="25" xfId="0" applyFont="1" applyFill="1" applyBorder="1" applyProtection="1">
      <protection locked="0"/>
    </xf>
    <xf numFmtId="166" fontId="0" fillId="21" borderId="20" xfId="87" applyNumberFormat="1" applyFont="1" applyFill="1" applyBorder="1" applyProtection="1">
      <protection locked="0"/>
    </xf>
    <xf numFmtId="0" fontId="0" fillId="0" borderId="21" xfId="0" applyFont="1" applyFill="1" applyBorder="1" applyProtection="1">
      <protection locked="0"/>
    </xf>
    <xf numFmtId="0" fontId="0" fillId="0" borderId="28" xfId="0" applyFont="1" applyFill="1" applyBorder="1" applyProtection="1">
      <protection locked="0"/>
    </xf>
    <xf numFmtId="166" fontId="0" fillId="21" borderId="22" xfId="87" applyNumberFormat="1" applyFont="1" applyFill="1" applyBorder="1" applyProtection="1">
      <protection locked="0"/>
    </xf>
    <xf numFmtId="0" fontId="3" fillId="0" borderId="0" xfId="0" applyFont="1" applyProtection="1">
      <protection locked="0"/>
    </xf>
    <xf numFmtId="165" fontId="3" fillId="0" borderId="0" xfId="0" applyNumberFormat="1" applyFont="1" applyFill="1" applyBorder="1" applyAlignment="1" applyProtection="1">
      <alignment horizontal="center"/>
    </xf>
    <xf numFmtId="165" fontId="3" fillId="19" borderId="20" xfId="0" applyNumberFormat="1" applyFont="1" applyFill="1" applyBorder="1" applyAlignment="1" applyProtection="1">
      <alignment horizontal="center"/>
      <protection locked="0"/>
    </xf>
    <xf numFmtId="165" fontId="3" fillId="19" borderId="27" xfId="0" applyNumberFormat="1" applyFont="1" applyFill="1" applyBorder="1" applyAlignment="1" applyProtection="1">
      <alignment horizontal="center"/>
      <protection locked="0"/>
    </xf>
    <xf numFmtId="0" fontId="0" fillId="0" borderId="26" xfId="0" applyFont="1" applyFill="1" applyBorder="1" applyProtection="1">
      <protection locked="0"/>
    </xf>
    <xf numFmtId="0" fontId="0" fillId="0" borderId="0" xfId="0" applyFont="1" applyFill="1" applyBorder="1" applyProtection="1">
      <protection locked="0"/>
    </xf>
    <xf numFmtId="9" fontId="3" fillId="19" borderId="27" xfId="0" applyNumberFormat="1" applyFont="1" applyFill="1" applyBorder="1" applyAlignment="1" applyProtection="1">
      <alignment horizontal="center" vertical="center"/>
      <protection locked="0"/>
    </xf>
    <xf numFmtId="9" fontId="3" fillId="19" borderId="22" xfId="0" applyNumberFormat="1" applyFont="1" applyFill="1" applyBorder="1" applyAlignment="1" applyProtection="1">
      <alignment horizontal="center" vertical="center"/>
      <protection locked="0"/>
    </xf>
    <xf numFmtId="0" fontId="3" fillId="0" borderId="30" xfId="0" applyFont="1" applyBorder="1" applyProtection="1">
      <protection locked="0"/>
    </xf>
    <xf numFmtId="0" fontId="3" fillId="0" borderId="31" xfId="0" applyFont="1" applyBorder="1" applyProtection="1">
      <protection locked="0"/>
    </xf>
    <xf numFmtId="0" fontId="3" fillId="0" borderId="31" xfId="0" applyFont="1" applyBorder="1" applyAlignment="1" applyProtection="1">
      <alignment horizontal="center"/>
      <protection locked="0"/>
    </xf>
    <xf numFmtId="0" fontId="3" fillId="0" borderId="19" xfId="0" applyFont="1" applyBorder="1" applyAlignment="1" applyProtection="1">
      <alignment vertical="center"/>
      <protection locked="0"/>
    </xf>
    <xf numFmtId="0" fontId="48" fillId="0" borderId="25" xfId="0" applyFont="1" applyBorder="1" applyAlignment="1" applyProtection="1">
      <alignment horizontal="left" vertical="center" wrapText="1" indent="1"/>
      <protection locked="0"/>
    </xf>
    <xf numFmtId="0" fontId="3" fillId="0" borderId="26" xfId="0" applyFont="1" applyBorder="1" applyAlignment="1" applyProtection="1">
      <alignment vertical="center"/>
      <protection locked="0"/>
    </xf>
    <xf numFmtId="0" fontId="48" fillId="0" borderId="0" xfId="0" applyFont="1" applyBorder="1" applyAlignment="1" applyProtection="1">
      <alignment horizontal="left" vertical="center" wrapText="1" indent="1"/>
      <protection locked="0"/>
    </xf>
    <xf numFmtId="0" fontId="3" fillId="0" borderId="21" xfId="0" applyFont="1" applyBorder="1" applyAlignment="1" applyProtection="1">
      <alignment vertical="center"/>
      <protection locked="0"/>
    </xf>
    <xf numFmtId="0" fontId="0" fillId="0" borderId="28" xfId="0" applyFont="1" applyBorder="1" applyAlignment="1" applyProtection="1">
      <alignment horizontal="left" vertical="center" indent="1"/>
      <protection locked="0"/>
    </xf>
    <xf numFmtId="10" fontId="0" fillId="29" borderId="50" xfId="2" applyNumberFormat="1" applyFont="1" applyFill="1" applyBorder="1" applyAlignment="1" applyProtection="1">
      <alignment horizontal="center" vertical="center"/>
      <protection locked="0"/>
    </xf>
    <xf numFmtId="166" fontId="0" fillId="9" borderId="50" xfId="87" applyNumberFormat="1" applyFont="1" applyFill="1" applyBorder="1" applyAlignment="1" applyProtection="1">
      <alignment horizontal="left" vertical="center"/>
      <protection locked="0"/>
    </xf>
    <xf numFmtId="10" fontId="0" fillId="29" borderId="45" xfId="0" applyNumberFormat="1" applyFont="1" applyFill="1" applyBorder="1" applyAlignment="1" applyProtection="1">
      <alignment horizontal="center" vertical="center"/>
      <protection locked="0"/>
    </xf>
    <xf numFmtId="166" fontId="0" fillId="9" borderId="45" xfId="87" applyNumberFormat="1" applyFont="1" applyFill="1" applyBorder="1" applyAlignment="1" applyProtection="1">
      <alignment horizontal="left" vertical="center"/>
      <protection locked="0"/>
    </xf>
    <xf numFmtId="0" fontId="48" fillId="0" borderId="28" xfId="0" applyFont="1" applyBorder="1" applyAlignment="1" applyProtection="1">
      <alignment horizontal="left" vertical="center" wrapText="1" indent="1"/>
      <protection locked="0"/>
    </xf>
    <xf numFmtId="10" fontId="0" fillId="29" borderId="45" xfId="2" applyNumberFormat="1" applyFont="1" applyFill="1" applyBorder="1" applyAlignment="1" applyProtection="1">
      <alignment horizontal="center" vertical="center"/>
      <protection locked="0"/>
    </xf>
    <xf numFmtId="10" fontId="0" fillId="29" borderId="10" xfId="2" applyNumberFormat="1" applyFont="1" applyFill="1" applyBorder="1" applyAlignment="1" applyProtection="1">
      <alignment horizontal="center" vertical="center"/>
      <protection locked="0"/>
    </xf>
    <xf numFmtId="166" fontId="0" fillId="9" borderId="10" xfId="87" applyNumberFormat="1" applyFont="1" applyFill="1" applyBorder="1" applyAlignment="1" applyProtection="1">
      <alignment horizontal="left" vertical="center"/>
      <protection locked="0"/>
    </xf>
    <xf numFmtId="10" fontId="0" fillId="24" borderId="50" xfId="0" applyNumberFormat="1" applyFont="1" applyFill="1" applyBorder="1" applyAlignment="1" applyProtection="1">
      <alignment horizontal="center" vertical="center"/>
      <protection locked="0"/>
    </xf>
    <xf numFmtId="166" fontId="0" fillId="24" borderId="50" xfId="87" applyNumberFormat="1" applyFont="1" applyFill="1" applyBorder="1" applyAlignment="1" applyProtection="1">
      <alignment horizontal="left" vertical="center"/>
      <protection locked="0"/>
    </xf>
    <xf numFmtId="0" fontId="3" fillId="0" borderId="23" xfId="0" applyFont="1" applyBorder="1" applyAlignment="1" applyProtection="1">
      <alignment horizontal="left"/>
      <protection locked="0"/>
    </xf>
    <xf numFmtId="0" fontId="48" fillId="0" borderId="29" xfId="0" applyFont="1" applyFill="1" applyBorder="1" applyAlignment="1" applyProtection="1">
      <alignment horizontal="left" vertical="center" wrapText="1" indent="1"/>
      <protection locked="0"/>
    </xf>
    <xf numFmtId="10" fontId="0" fillId="34" borderId="29" xfId="0" applyNumberFormat="1"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48" fillId="0" borderId="46" xfId="0" applyFont="1" applyFill="1" applyBorder="1" applyAlignment="1" applyProtection="1">
      <alignment horizontal="left" vertical="center" wrapText="1" indent="1"/>
      <protection locked="0"/>
    </xf>
    <xf numFmtId="0" fontId="0" fillId="0" borderId="47" xfId="0" applyFont="1" applyBorder="1" applyAlignment="1" applyProtection="1">
      <alignment horizontal="left" indent="1"/>
      <protection locked="0"/>
    </xf>
    <xf numFmtId="170" fontId="48" fillId="4" borderId="9" xfId="0" applyNumberFormat="1" applyFont="1" applyFill="1" applyBorder="1" applyAlignment="1" applyProtection="1">
      <alignment horizontal="left" vertical="center" wrapText="1" indent="3"/>
      <protection locked="0"/>
    </xf>
    <xf numFmtId="170" fontId="48" fillId="0" borderId="9" xfId="0" applyNumberFormat="1" applyFont="1" applyFill="1" applyBorder="1" applyAlignment="1" applyProtection="1">
      <alignment horizontal="left" vertical="center" wrapText="1" indent="3"/>
      <protection locked="0"/>
    </xf>
    <xf numFmtId="0" fontId="0" fillId="0" borderId="48" xfId="0" applyFont="1" applyBorder="1" applyAlignment="1" applyProtection="1">
      <alignment horizontal="left" indent="1"/>
      <protection locked="0"/>
    </xf>
    <xf numFmtId="170" fontId="48" fillId="0" borderId="44" xfId="0" applyNumberFormat="1" applyFont="1" applyFill="1" applyBorder="1" applyAlignment="1" applyProtection="1">
      <alignment horizontal="left" vertical="center" wrapText="1" indent="3"/>
      <protection locked="0"/>
    </xf>
    <xf numFmtId="10" fontId="0" fillId="34" borderId="49" xfId="0" applyNumberFormat="1" applyFont="1" applyFill="1" applyBorder="1" applyAlignment="1" applyProtection="1">
      <alignment horizontal="center" vertical="center"/>
      <protection locked="0"/>
    </xf>
    <xf numFmtId="10" fontId="3" fillId="9" borderId="0" xfId="2" applyNumberFormat="1" applyFont="1" applyFill="1" applyAlignment="1" applyProtection="1">
      <alignment horizontal="center"/>
      <protection locked="0"/>
    </xf>
    <xf numFmtId="166" fontId="3" fillId="9" borderId="0" xfId="87" applyNumberFormat="1" applyFont="1" applyFill="1" applyProtection="1">
      <protection locked="0"/>
    </xf>
    <xf numFmtId="165" fontId="0" fillId="0" borderId="0" xfId="0" applyNumberFormat="1" applyFont="1" applyProtection="1">
      <protection locked="0"/>
    </xf>
    <xf numFmtId="0" fontId="113" fillId="0" borderId="0" xfId="142" applyFont="1" applyAlignment="1">
      <alignment vertical="center"/>
    </xf>
    <xf numFmtId="41" fontId="112" fillId="0" borderId="27" xfId="0" applyNumberFormat="1" applyFont="1" applyBorder="1"/>
    <xf numFmtId="0" fontId="47" fillId="0" borderId="26" xfId="0" applyFont="1" applyBorder="1" applyAlignment="1">
      <alignment horizontal="left"/>
    </xf>
    <xf numFmtId="0" fontId="112" fillId="0" borderId="26" xfId="0" applyFont="1" applyBorder="1" applyAlignment="1">
      <alignment horizontal="left" indent="2"/>
    </xf>
    <xf numFmtId="0" fontId="114" fillId="0" borderId="26" xfId="0" applyFont="1" applyBorder="1" applyAlignment="1">
      <alignment horizontal="left" indent="2"/>
    </xf>
    <xf numFmtId="0" fontId="5" fillId="0" borderId="26" xfId="0" applyFont="1" applyBorder="1" applyAlignment="1">
      <alignment horizontal="left" indent="1"/>
    </xf>
    <xf numFmtId="0" fontId="47" fillId="0" borderId="23" xfId="0" applyFont="1" applyBorder="1"/>
    <xf numFmtId="0" fontId="47" fillId="0" borderId="29" xfId="0" applyFont="1" applyBorder="1"/>
    <xf numFmtId="164" fontId="60" fillId="0" borderId="24" xfId="1" applyNumberFormat="1" applyFont="1" applyBorder="1"/>
    <xf numFmtId="41" fontId="47" fillId="0" borderId="23" xfId="0" applyNumberFormat="1" applyFont="1" applyBorder="1"/>
    <xf numFmtId="165" fontId="47" fillId="0" borderId="0" xfId="2" applyNumberFormat="1" applyFont="1" applyFill="1"/>
    <xf numFmtId="165" fontId="47" fillId="0" borderId="0" xfId="0" applyNumberFormat="1" applyFont="1" applyFill="1"/>
    <xf numFmtId="164" fontId="94" fillId="7" borderId="0" xfId="1" applyNumberFormat="1" applyFont="1" applyFill="1"/>
    <xf numFmtId="0" fontId="47" fillId="0" borderId="1" xfId="0" applyFont="1" applyBorder="1" applyAlignment="1">
      <alignment horizontal="center" wrapText="1"/>
    </xf>
    <xf numFmtId="0" fontId="47" fillId="0" borderId="1" xfId="0" applyFont="1" applyBorder="1" applyAlignment="1">
      <alignment horizontal="center"/>
    </xf>
    <xf numFmtId="164" fontId="49" fillId="10" borderId="0" xfId="1" applyNumberFormat="1" applyFont="1" applyFill="1"/>
    <xf numFmtId="0" fontId="47" fillId="10" borderId="0" xfId="0" applyFont="1" applyFill="1" applyBorder="1" applyAlignment="1">
      <alignment horizontal="left" indent="1"/>
    </xf>
    <xf numFmtId="164" fontId="47" fillId="10" borderId="0" xfId="1" applyNumberFormat="1" applyFont="1" applyFill="1"/>
    <xf numFmtId="0" fontId="47" fillId="10" borderId="0" xfId="0" applyFont="1" applyFill="1" applyBorder="1"/>
    <xf numFmtId="0" fontId="47" fillId="0" borderId="1" xfId="0" applyFont="1" applyFill="1" applyBorder="1" applyAlignment="1">
      <alignment horizontal="center" wrapText="1"/>
    </xf>
    <xf numFmtId="41" fontId="60" fillId="0" borderId="0" xfId="0" applyNumberFormat="1" applyFont="1"/>
    <xf numFmtId="0" fontId="44" fillId="17" borderId="3" xfId="0" applyFont="1" applyFill="1" applyBorder="1" applyAlignment="1" applyProtection="1">
      <alignment horizontal="left" vertical="top"/>
      <protection locked="0"/>
    </xf>
    <xf numFmtId="164" fontId="0" fillId="0" borderId="0" xfId="1" applyNumberFormat="1" applyFont="1" applyBorder="1"/>
    <xf numFmtId="164" fontId="0" fillId="0" borderId="27" xfId="1" applyNumberFormat="1" applyFont="1" applyBorder="1"/>
    <xf numFmtId="0" fontId="0" fillId="0" borderId="3" xfId="0" applyBorder="1" applyAlignment="1" applyProtection="1">
      <alignment vertical="top" wrapText="1"/>
      <protection locked="0"/>
    </xf>
    <xf numFmtId="0" fontId="71" fillId="31" borderId="58" xfId="0" applyFont="1" applyFill="1" applyBorder="1" applyAlignment="1" applyProtection="1">
      <alignment horizontal="center" vertical="top" wrapText="1" readingOrder="1"/>
      <protection locked="0"/>
    </xf>
    <xf numFmtId="0" fontId="71" fillId="31" borderId="3" xfId="0" applyFont="1" applyFill="1" applyBorder="1" applyAlignment="1" applyProtection="1">
      <alignment horizontal="center" vertical="top" wrapText="1" readingOrder="1"/>
      <protection locked="0"/>
    </xf>
    <xf numFmtId="0" fontId="72" fillId="3" borderId="3" xfId="0" applyFont="1" applyFill="1" applyBorder="1" applyAlignment="1" applyProtection="1">
      <alignment vertical="top" wrapText="1"/>
      <protection locked="0"/>
    </xf>
    <xf numFmtId="0" fontId="42" fillId="3" borderId="3" xfId="0" applyFont="1" applyFill="1" applyBorder="1" applyAlignment="1">
      <alignment horizontal="center" wrapText="1"/>
    </xf>
    <xf numFmtId="0" fontId="0" fillId="0" borderId="3" xfId="0" applyFont="1" applyBorder="1"/>
    <xf numFmtId="0" fontId="70" fillId="0" borderId="59" xfId="0" applyFont="1" applyFill="1" applyBorder="1" applyAlignment="1" applyProtection="1">
      <alignment horizontal="left" vertical="top" readingOrder="1"/>
      <protection locked="0"/>
    </xf>
    <xf numFmtId="0" fontId="70" fillId="31" borderId="58" xfId="0" applyFont="1" applyFill="1" applyBorder="1" applyAlignment="1" applyProtection="1">
      <alignment horizontal="center" vertical="center" wrapText="1" readingOrder="1"/>
      <protection locked="0"/>
    </xf>
    <xf numFmtId="0" fontId="70" fillId="31" borderId="3" xfId="0" applyFont="1" applyFill="1" applyBorder="1" applyAlignment="1" applyProtection="1">
      <alignment horizontal="center" vertical="center" wrapText="1" readingOrder="1"/>
      <protection locked="0"/>
    </xf>
    <xf numFmtId="0" fontId="42" fillId="3" borderId="3" xfId="0" applyFont="1" applyFill="1" applyBorder="1"/>
    <xf numFmtId="0" fontId="115" fillId="0" borderId="34" xfId="0" applyFont="1" applyBorder="1" applyAlignment="1" applyProtection="1">
      <alignment horizontal="left" vertical="top" indent="1"/>
      <protection locked="0"/>
    </xf>
    <xf numFmtId="171" fontId="5" fillId="0" borderId="0" xfId="0" applyNumberFormat="1" applyFont="1"/>
    <xf numFmtId="0" fontId="115" fillId="14" borderId="34" xfId="0" applyFont="1" applyFill="1" applyBorder="1" applyAlignment="1" applyProtection="1">
      <alignment horizontal="left" vertical="top" indent="1"/>
      <protection locked="0"/>
    </xf>
    <xf numFmtId="0" fontId="115" fillId="0" borderId="0" xfId="0" applyFont="1" applyBorder="1" applyAlignment="1" applyProtection="1">
      <alignment horizontal="left" vertical="top" indent="1"/>
      <protection locked="0"/>
    </xf>
    <xf numFmtId="0" fontId="5" fillId="0" borderId="2" xfId="0" applyFont="1" applyFill="1" applyBorder="1"/>
    <xf numFmtId="0" fontId="115" fillId="0" borderId="0" xfId="0" applyFont="1" applyAlignment="1" applyProtection="1">
      <alignment horizontal="left" vertical="top" indent="1"/>
      <protection locked="0"/>
    </xf>
    <xf numFmtId="0" fontId="115" fillId="0" borderId="5" xfId="0" applyFont="1" applyBorder="1" applyAlignment="1" applyProtection="1">
      <alignment horizontal="left" vertical="top" indent="1"/>
      <protection locked="0"/>
    </xf>
    <xf numFmtId="171" fontId="10" fillId="8" borderId="0" xfId="0" applyNumberFormat="1" applyFont="1" applyFill="1" applyBorder="1" applyAlignment="1">
      <alignment vertical="center" wrapText="1"/>
    </xf>
    <xf numFmtId="171" fontId="5" fillId="21" borderId="0" xfId="0" applyNumberFormat="1" applyFont="1" applyFill="1"/>
    <xf numFmtId="0" fontId="42" fillId="0" borderId="2" xfId="0" applyFont="1" applyBorder="1" applyAlignment="1" applyProtection="1">
      <alignment vertical="top" wrapText="1"/>
      <protection locked="0"/>
    </xf>
    <xf numFmtId="172" fontId="42" fillId="0" borderId="4" xfId="0" applyNumberFormat="1" applyFont="1" applyBorder="1" applyAlignment="1" applyProtection="1">
      <alignment vertical="top" wrapText="1"/>
      <protection locked="0"/>
    </xf>
    <xf numFmtId="172" fontId="75" fillId="0" borderId="4" xfId="0" applyNumberFormat="1" applyFont="1" applyBorder="1" applyAlignment="1" applyProtection="1">
      <alignment vertical="top" wrapText="1"/>
      <protection locked="0"/>
    </xf>
    <xf numFmtId="0" fontId="3" fillId="0" borderId="2" xfId="0" applyFont="1" applyBorder="1"/>
    <xf numFmtId="172" fontId="43" fillId="0" borderId="2" xfId="0" applyNumberFormat="1" applyFont="1" applyBorder="1" applyAlignment="1" applyProtection="1">
      <alignment vertical="top" wrapText="1"/>
      <protection locked="0"/>
    </xf>
    <xf numFmtId="172" fontId="92" fillId="0" borderId="2" xfId="0" applyNumberFormat="1" applyFont="1" applyBorder="1" applyAlignment="1" applyProtection="1">
      <alignment vertical="top" wrapText="1"/>
      <protection locked="0"/>
    </xf>
    <xf numFmtId="42" fontId="5" fillId="0" borderId="4" xfId="5616" applyNumberFormat="1" applyFont="1" applyFill="1" applyBorder="1" applyAlignment="1"/>
    <xf numFmtId="42" fontId="42" fillId="0" borderId="2" xfId="0" applyNumberFormat="1" applyFont="1" applyBorder="1"/>
    <xf numFmtId="166" fontId="0" fillId="25" borderId="0" xfId="87" applyNumberFormat="1" applyFont="1" applyFill="1"/>
    <xf numFmtId="166" fontId="14" fillId="25" borderId="0" xfId="87" applyNumberFormat="1" applyFont="1" applyFill="1"/>
    <xf numFmtId="166" fontId="14" fillId="0" borderId="0" xfId="87" applyNumberFormat="1" applyFont="1"/>
    <xf numFmtId="166" fontId="14" fillId="0" borderId="0" xfId="0" applyNumberFormat="1" applyFont="1"/>
    <xf numFmtId="0" fontId="3" fillId="0" borderId="3" xfId="0" applyFont="1" applyBorder="1" applyAlignment="1">
      <alignment vertical="center"/>
    </xf>
    <xf numFmtId="0" fontId="3" fillId="0" borderId="3" xfId="0" applyFont="1" applyBorder="1" applyAlignment="1">
      <alignment horizontal="center" vertical="center" wrapText="1"/>
    </xf>
    <xf numFmtId="165" fontId="3" fillId="0" borderId="0" xfId="0" applyNumberFormat="1" applyFont="1"/>
    <xf numFmtId="178" fontId="3" fillId="0" borderId="0" xfId="0" applyNumberFormat="1" applyFont="1"/>
    <xf numFmtId="165" fontId="0" fillId="0" borderId="0" xfId="2" applyNumberFormat="1" applyFont="1"/>
    <xf numFmtId="178" fontId="0" fillId="0" borderId="0" xfId="0" applyNumberFormat="1"/>
    <xf numFmtId="10" fontId="0" fillId="0" borderId="0" xfId="0" applyNumberFormat="1" applyAlignment="1">
      <alignment horizontal="right" indent="1"/>
    </xf>
    <xf numFmtId="165" fontId="3" fillId="0" borderId="3" xfId="2" applyNumberFormat="1" applyFont="1" applyBorder="1"/>
    <xf numFmtId="164" fontId="3" fillId="0" borderId="3" xfId="0" applyNumberFormat="1" applyFont="1" applyBorder="1"/>
    <xf numFmtId="0" fontId="116" fillId="0" borderId="0" xfId="0" applyFont="1"/>
    <xf numFmtId="0" fontId="4" fillId="10" borderId="2" xfId="0" applyFont="1" applyFill="1" applyBorder="1" applyAlignment="1">
      <alignment horizontal="center"/>
    </xf>
    <xf numFmtId="0" fontId="4" fillId="10" borderId="0" xfId="0" applyFont="1" applyFill="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4" fillId="45" borderId="2" xfId="0" applyFont="1" applyFill="1" applyBorder="1" applyAlignment="1">
      <alignment horizontal="center"/>
    </xf>
    <xf numFmtId="164" fontId="0" fillId="10" borderId="4" xfId="1" applyNumberFormat="1" applyFont="1" applyFill="1" applyBorder="1"/>
    <xf numFmtId="164" fontId="0" fillId="0" borderId="4" xfId="1" applyNumberFormat="1" applyFont="1" applyBorder="1"/>
    <xf numFmtId="164" fontId="111" fillId="0" borderId="4" xfId="1" applyNumberFormat="1" applyFont="1" applyBorder="1"/>
    <xf numFmtId="164" fontId="111" fillId="45" borderId="4" xfId="1" applyNumberFormat="1" applyFont="1" applyFill="1" applyBorder="1"/>
    <xf numFmtId="0" fontId="0" fillId="45" borderId="4" xfId="0" applyFill="1" applyBorder="1"/>
    <xf numFmtId="164" fontId="0" fillId="10" borderId="0" xfId="1" applyNumberFormat="1" applyFont="1" applyFill="1" applyBorder="1"/>
    <xf numFmtId="164" fontId="111" fillId="0" borderId="0" xfId="1" applyNumberFormat="1" applyFont="1" applyBorder="1"/>
    <xf numFmtId="164" fontId="111" fillId="45" borderId="0" xfId="1" applyNumberFormat="1" applyFont="1" applyFill="1" applyBorder="1"/>
    <xf numFmtId="0" fontId="0" fillId="45" borderId="0" xfId="0" applyFill="1" applyBorder="1"/>
    <xf numFmtId="164" fontId="0" fillId="10" borderId="2" xfId="1" applyNumberFormat="1" applyFont="1" applyFill="1" applyBorder="1"/>
    <xf numFmtId="164" fontId="0" fillId="0" borderId="2" xfId="1" applyNumberFormat="1" applyFont="1" applyBorder="1"/>
    <xf numFmtId="164" fontId="111" fillId="0" borderId="2" xfId="1" applyNumberFormat="1" applyFont="1" applyBorder="1"/>
    <xf numFmtId="164" fontId="111" fillId="45" borderId="2" xfId="1" applyNumberFormat="1" applyFont="1" applyFill="1" applyBorder="1"/>
    <xf numFmtId="0" fontId="0" fillId="45" borderId="2" xfId="0" applyFill="1" applyBorder="1"/>
    <xf numFmtId="164" fontId="0" fillId="10" borderId="1" xfId="1" applyNumberFormat="1" applyFont="1" applyFill="1" applyBorder="1"/>
    <xf numFmtId="164" fontId="42" fillId="3" borderId="1" xfId="1" applyNumberFormat="1" applyFont="1" applyFill="1" applyBorder="1"/>
    <xf numFmtId="164" fontId="0" fillId="0" borderId="1" xfId="1" applyNumberFormat="1" applyFont="1" applyBorder="1"/>
    <xf numFmtId="164" fontId="42" fillId="10" borderId="1" xfId="1" applyNumberFormat="1" applyFont="1" applyFill="1" applyBorder="1"/>
    <xf numFmtId="0" fontId="0" fillId="10" borderId="1" xfId="0" applyFill="1" applyBorder="1"/>
    <xf numFmtId="164" fontId="111" fillId="0" borderId="1" xfId="1" applyNumberFormat="1" applyFont="1" applyBorder="1"/>
    <xf numFmtId="164" fontId="0" fillId="45" borderId="1" xfId="1" applyNumberFormat="1" applyFont="1" applyFill="1" applyBorder="1"/>
    <xf numFmtId="0" fontId="0" fillId="45" borderId="1" xfId="0" applyFill="1" applyBorder="1"/>
    <xf numFmtId="0" fontId="0" fillId="45" borderId="0" xfId="0" applyFill="1"/>
    <xf numFmtId="43" fontId="0" fillId="10" borderId="0" xfId="1" applyFont="1" applyFill="1"/>
    <xf numFmtId="10" fontId="0" fillId="10" borderId="0" xfId="2" applyNumberFormat="1" applyFont="1" applyFill="1" applyBorder="1"/>
    <xf numFmtId="10" fontId="0" fillId="0" borderId="0" xfId="2" applyNumberFormat="1" applyFont="1" applyBorder="1"/>
    <xf numFmtId="164" fontId="111" fillId="0" borderId="0" xfId="1" applyNumberFormat="1" applyFont="1"/>
    <xf numFmtId="164" fontId="111" fillId="45" borderId="0" xfId="1" applyNumberFormat="1" applyFont="1" applyFill="1"/>
    <xf numFmtId="10" fontId="0" fillId="45" borderId="0" xfId="2" applyNumberFormat="1" applyFont="1" applyFill="1" applyBorder="1"/>
    <xf numFmtId="43" fontId="0" fillId="10" borderId="2" xfId="1" applyFont="1" applyFill="1" applyBorder="1"/>
    <xf numFmtId="10" fontId="0" fillId="10" borderId="2" xfId="2" applyNumberFormat="1" applyFont="1" applyFill="1" applyBorder="1"/>
    <xf numFmtId="43" fontId="0" fillId="0" borderId="2" xfId="1" applyFont="1" applyBorder="1"/>
    <xf numFmtId="10" fontId="0" fillId="0" borderId="2" xfId="2" applyNumberFormat="1" applyFont="1" applyBorder="1"/>
    <xf numFmtId="0" fontId="4" fillId="0" borderId="0" xfId="0" applyFont="1"/>
    <xf numFmtId="43" fontId="4" fillId="10" borderId="0" xfId="1" applyFont="1" applyFill="1"/>
    <xf numFmtId="10" fontId="4" fillId="10" borderId="0" xfId="2" applyNumberFormat="1" applyFont="1" applyFill="1" applyBorder="1"/>
    <xf numFmtId="43" fontId="4" fillId="0" borderId="0" xfId="1" applyFont="1"/>
    <xf numFmtId="10" fontId="4" fillId="0" borderId="0" xfId="2" applyNumberFormat="1" applyFont="1" applyBorder="1"/>
    <xf numFmtId="43" fontId="4" fillId="45" borderId="0" xfId="1" applyFont="1" applyFill="1"/>
    <xf numFmtId="10" fontId="4" fillId="45" borderId="0" xfId="2" applyNumberFormat="1" applyFont="1" applyFill="1" applyBorder="1"/>
    <xf numFmtId="0" fontId="0" fillId="10" borderId="3" xfId="0" applyFill="1" applyBorder="1"/>
    <xf numFmtId="0" fontId="0" fillId="45" borderId="3" xfId="0" applyFill="1" applyBorder="1"/>
    <xf numFmtId="164" fontId="0" fillId="10" borderId="0" xfId="1" applyNumberFormat="1" applyFont="1" applyFill="1"/>
    <xf numFmtId="164" fontId="0" fillId="45" borderId="0" xfId="1" applyNumberFormat="1" applyFont="1" applyFill="1"/>
    <xf numFmtId="164" fontId="111" fillId="10" borderId="0" xfId="1" applyNumberFormat="1" applyFont="1" applyFill="1"/>
    <xf numFmtId="0" fontId="30" fillId="40" borderId="0" xfId="0" applyFont="1" applyFill="1" applyAlignment="1"/>
    <xf numFmtId="164" fontId="46" fillId="40" borderId="0" xfId="0" applyNumberFormat="1" applyFont="1" applyFill="1" applyAlignment="1"/>
    <xf numFmtId="0" fontId="25" fillId="40" borderId="0" xfId="142" applyFont="1" applyFill="1"/>
    <xf numFmtId="0" fontId="117" fillId="0" borderId="26" xfId="0" applyFont="1" applyBorder="1" applyAlignment="1">
      <alignment horizontal="left" indent="1"/>
    </xf>
    <xf numFmtId="0" fontId="117" fillId="0" borderId="0" xfId="0" applyFont="1" applyFill="1" applyBorder="1"/>
    <xf numFmtId="0" fontId="117" fillId="7" borderId="0" xfId="0" applyFont="1" applyFill="1" applyBorder="1"/>
    <xf numFmtId="0" fontId="117" fillId="10" borderId="0" xfId="0" applyFont="1" applyFill="1" applyBorder="1" applyAlignment="1">
      <alignment horizontal="left" indent="1"/>
    </xf>
    <xf numFmtId="0" fontId="117" fillId="10" borderId="0" xfId="0" applyFont="1" applyFill="1" applyBorder="1"/>
    <xf numFmtId="43" fontId="0" fillId="2" borderId="0" xfId="1" applyFont="1" applyFill="1"/>
    <xf numFmtId="43" fontId="0" fillId="0" borderId="0" xfId="1" applyFont="1" applyFill="1"/>
    <xf numFmtId="172" fontId="120" fillId="0" borderId="0" xfId="0" applyNumberFormat="1" applyFont="1" applyBorder="1" applyAlignment="1" applyProtection="1">
      <alignment vertical="top" wrapText="1"/>
      <protection locked="0"/>
    </xf>
    <xf numFmtId="0" fontId="120" fillId="0" borderId="0" xfId="0" applyFont="1" applyBorder="1" applyAlignment="1" applyProtection="1">
      <alignment vertical="top" wrapText="1"/>
      <protection locked="0"/>
    </xf>
    <xf numFmtId="0" fontId="120" fillId="3" borderId="0" xfId="0" applyFont="1" applyFill="1" applyBorder="1" applyAlignment="1" applyProtection="1">
      <alignment vertical="top" wrapText="1"/>
      <protection locked="0"/>
    </xf>
    <xf numFmtId="172" fontId="120" fillId="10" borderId="0" xfId="0" applyNumberFormat="1" applyFont="1" applyFill="1" applyBorder="1" applyAlignment="1" applyProtection="1">
      <alignment vertical="top" wrapText="1"/>
      <protection locked="0"/>
    </xf>
    <xf numFmtId="0" fontId="120" fillId="10" borderId="0" xfId="0" applyFont="1" applyFill="1" applyBorder="1" applyAlignment="1" applyProtection="1">
      <alignment vertical="top" wrapText="1"/>
      <protection locked="0"/>
    </xf>
    <xf numFmtId="172" fontId="120" fillId="17" borderId="0" xfId="0" applyNumberFormat="1" applyFont="1" applyFill="1" applyAlignment="1" applyProtection="1">
      <alignment vertical="top" wrapText="1"/>
      <protection locked="0"/>
    </xf>
    <xf numFmtId="0" fontId="120" fillId="0" borderId="0" xfId="0" applyFont="1" applyBorder="1"/>
    <xf numFmtId="172" fontId="0" fillId="0" borderId="0" xfId="0" applyNumberFormat="1" applyFont="1"/>
    <xf numFmtId="172" fontId="120" fillId="0" borderId="0" xfId="0" applyNumberFormat="1" applyFont="1"/>
    <xf numFmtId="172" fontId="120" fillId="0" borderId="0" xfId="0" applyNumberFormat="1" applyFont="1" applyFill="1" applyBorder="1"/>
    <xf numFmtId="172" fontId="120" fillId="10" borderId="0" xfId="0" applyNumberFormat="1" applyFont="1" applyFill="1" applyBorder="1"/>
    <xf numFmtId="172" fontId="120" fillId="10" borderId="0" xfId="0" applyNumberFormat="1" applyFont="1" applyFill="1"/>
    <xf numFmtId="0" fontId="5" fillId="0" borderId="1" xfId="0" applyFont="1" applyBorder="1" applyAlignment="1">
      <alignment horizontal="center"/>
    </xf>
    <xf numFmtId="0" fontId="8" fillId="0" borderId="1" xfId="0" applyFont="1" applyBorder="1" applyAlignment="1">
      <alignment horizontal="center" wrapText="1"/>
    </xf>
    <xf numFmtId="0" fontId="117" fillId="0" borderId="0" xfId="0" applyFont="1" applyFill="1"/>
    <xf numFmtId="15" fontId="0" fillId="0" borderId="0" xfId="0" applyNumberFormat="1" applyFont="1" applyProtection="1">
      <protection locked="0"/>
    </xf>
    <xf numFmtId="0" fontId="23" fillId="0" borderId="0" xfId="0" applyFont="1" applyAlignment="1">
      <alignment horizontal="center"/>
    </xf>
    <xf numFmtId="0" fontId="4" fillId="10" borderId="23" xfId="0" applyFont="1" applyFill="1" applyBorder="1" applyAlignment="1"/>
    <xf numFmtId="0" fontId="4" fillId="10" borderId="29" xfId="0" applyFont="1" applyFill="1" applyBorder="1" applyAlignment="1"/>
    <xf numFmtId="0" fontId="10" fillId="10" borderId="29" xfId="0" applyFont="1" applyFill="1" applyBorder="1" applyAlignment="1"/>
    <xf numFmtId="0" fontId="0" fillId="0" borderId="23" xfId="0" applyBorder="1" applyAlignment="1"/>
    <xf numFmtId="0" fontId="0" fillId="0" borderId="60" xfId="0" applyBorder="1" applyAlignment="1"/>
    <xf numFmtId="0" fontId="10" fillId="46" borderId="43" xfId="0" applyFont="1" applyFill="1" applyBorder="1" applyAlignment="1">
      <alignment horizontal="center"/>
    </xf>
    <xf numFmtId="0" fontId="10" fillId="46" borderId="53" xfId="0" applyFont="1" applyFill="1" applyBorder="1" applyAlignment="1">
      <alignment horizontal="center"/>
    </xf>
    <xf numFmtId="0" fontId="4" fillId="0" borderId="51" xfId="0" applyFont="1" applyBorder="1" applyAlignment="1">
      <alignment horizontal="center"/>
    </xf>
    <xf numFmtId="0" fontId="0" fillId="0" borderId="61" xfId="0" applyBorder="1"/>
    <xf numFmtId="166" fontId="125" fillId="46" borderId="62" xfId="0" applyNumberFormat="1" applyFont="1" applyFill="1" applyBorder="1" applyAlignment="1">
      <alignment horizontal="center"/>
    </xf>
    <xf numFmtId="166" fontId="125" fillId="46" borderId="63" xfId="0" applyNumberFormat="1" applyFont="1" applyFill="1" applyBorder="1" applyAlignment="1">
      <alignment horizontal="center"/>
    </xf>
    <xf numFmtId="166" fontId="0" fillId="0" borderId="61" xfId="0" applyNumberFormat="1" applyFont="1" applyBorder="1" applyAlignment="1">
      <alignment horizontal="center"/>
    </xf>
    <xf numFmtId="0" fontId="0" fillId="0" borderId="8" xfId="0" applyBorder="1"/>
    <xf numFmtId="166" fontId="125" fillId="46" borderId="64" xfId="0" applyNumberFormat="1" applyFont="1" applyFill="1" applyBorder="1" applyAlignment="1">
      <alignment horizontal="center"/>
    </xf>
    <xf numFmtId="166" fontId="125" fillId="46" borderId="42" xfId="0" applyNumberFormat="1" applyFont="1" applyFill="1" applyBorder="1" applyAlignment="1">
      <alignment horizontal="center"/>
    </xf>
    <xf numFmtId="166" fontId="0" fillId="0" borderId="8" xfId="0" applyNumberFormat="1" applyFont="1" applyBorder="1" applyAlignment="1">
      <alignment horizontal="center"/>
    </xf>
    <xf numFmtId="0" fontId="0" fillId="0" borderId="8" xfId="0" applyFill="1" applyBorder="1"/>
    <xf numFmtId="0" fontId="0" fillId="0" borderId="12" xfId="0" applyFill="1" applyBorder="1"/>
    <xf numFmtId="166" fontId="125" fillId="46" borderId="65" xfId="0" applyNumberFormat="1" applyFont="1" applyFill="1" applyBorder="1" applyAlignment="1">
      <alignment horizontal="center"/>
    </xf>
    <xf numFmtId="166" fontId="125" fillId="46" borderId="66" xfId="0" applyNumberFormat="1" applyFont="1" applyFill="1" applyBorder="1" applyAlignment="1">
      <alignment horizontal="center"/>
    </xf>
    <xf numFmtId="166" fontId="0" fillId="0" borderId="12" xfId="0" applyNumberFormat="1" applyFont="1" applyBorder="1" applyAlignment="1">
      <alignment horizontal="center"/>
    </xf>
    <xf numFmtId="0" fontId="0" fillId="10" borderId="30" xfId="0" applyFill="1" applyBorder="1"/>
    <xf numFmtId="166" fontId="125" fillId="46" borderId="30" xfId="0" applyNumberFormat="1" applyFont="1" applyFill="1" applyBorder="1" applyAlignment="1">
      <alignment horizontal="center"/>
    </xf>
    <xf numFmtId="166" fontId="125" fillId="46" borderId="67" xfId="0" applyNumberFormat="1" applyFont="1" applyFill="1" applyBorder="1" applyAlignment="1">
      <alignment horizontal="center"/>
    </xf>
    <xf numFmtId="166" fontId="0" fillId="10" borderId="60" xfId="0" applyNumberFormat="1" applyFont="1" applyFill="1" applyBorder="1" applyAlignment="1">
      <alignment horizontal="center"/>
    </xf>
    <xf numFmtId="166" fontId="125" fillId="46" borderId="64" xfId="0" applyNumberFormat="1" applyFont="1" applyFill="1" applyBorder="1"/>
    <xf numFmtId="166" fontId="125" fillId="46" borderId="42" xfId="0" applyNumberFormat="1" applyFont="1" applyFill="1" applyBorder="1"/>
    <xf numFmtId="166" fontId="0" fillId="0" borderId="8" xfId="0" applyNumberFormat="1" applyFont="1" applyFill="1" applyBorder="1"/>
    <xf numFmtId="0" fontId="0" fillId="10" borderId="43" xfId="0" applyFill="1" applyBorder="1"/>
    <xf numFmtId="166" fontId="125" fillId="46" borderId="43" xfId="0" applyNumberFormat="1" applyFont="1" applyFill="1" applyBorder="1" applyAlignment="1">
      <alignment horizontal="center"/>
    </xf>
    <xf numFmtId="166" fontId="125" fillId="46" borderId="53" xfId="0" applyNumberFormat="1" applyFont="1" applyFill="1" applyBorder="1" applyAlignment="1">
      <alignment horizontal="center"/>
    </xf>
    <xf numFmtId="166" fontId="0" fillId="10" borderId="51" xfId="0" applyNumberFormat="1" applyFont="1" applyFill="1" applyBorder="1" applyAlignment="1">
      <alignment horizontal="center"/>
    </xf>
    <xf numFmtId="0" fontId="0" fillId="19" borderId="62" xfId="0" applyFill="1" applyBorder="1"/>
    <xf numFmtId="166" fontId="125" fillId="46" borderId="62" xfId="0" applyNumberFormat="1" applyFont="1" applyFill="1" applyBorder="1"/>
    <xf numFmtId="166" fontId="125" fillId="46" borderId="63" xfId="0" applyNumberFormat="1" applyFont="1" applyFill="1" applyBorder="1"/>
    <xf numFmtId="166" fontId="0" fillId="19" borderId="61" xfId="0" applyNumberFormat="1" applyFont="1" applyFill="1" applyBorder="1"/>
    <xf numFmtId="0" fontId="0" fillId="0" borderId="65" xfId="0" applyBorder="1"/>
    <xf numFmtId="166" fontId="125" fillId="46" borderId="65" xfId="0" applyNumberFormat="1" applyFont="1" applyFill="1" applyBorder="1"/>
    <xf numFmtId="166" fontId="125" fillId="46" borderId="66" xfId="0" applyNumberFormat="1" applyFont="1" applyFill="1" applyBorder="1"/>
    <xf numFmtId="166" fontId="0" fillId="0" borderId="12" xfId="0" applyNumberFormat="1" applyBorder="1"/>
    <xf numFmtId="10" fontId="125" fillId="46" borderId="30" xfId="0" applyNumberFormat="1" applyFont="1" applyFill="1" applyBorder="1"/>
    <xf numFmtId="10" fontId="125" fillId="46" borderId="67" xfId="0" applyNumberFormat="1" applyFont="1" applyFill="1" applyBorder="1"/>
    <xf numFmtId="10" fontId="0" fillId="10" borderId="60" xfId="0" applyNumberFormat="1" applyFont="1" applyFill="1" applyBorder="1"/>
    <xf numFmtId="0" fontId="0" fillId="0" borderId="57" xfId="0" applyFill="1" applyBorder="1"/>
    <xf numFmtId="166" fontId="0" fillId="46" borderId="19" xfId="0" applyNumberFormat="1" applyFont="1" applyFill="1" applyBorder="1"/>
    <xf numFmtId="166" fontId="0" fillId="46" borderId="20" xfId="0" applyNumberFormat="1" applyFont="1" applyFill="1" applyBorder="1"/>
    <xf numFmtId="166" fontId="0" fillId="0" borderId="14" xfId="0" applyNumberFormat="1" applyFont="1" applyFill="1" applyBorder="1"/>
    <xf numFmtId="0" fontId="0" fillId="0" borderId="65" xfId="0" applyFill="1" applyBorder="1"/>
    <xf numFmtId="166" fontId="0" fillId="46" borderId="26" xfId="0" applyNumberFormat="1" applyFont="1" applyFill="1" applyBorder="1"/>
    <xf numFmtId="166" fontId="0" fillId="46" borderId="27" xfId="0" applyNumberFormat="1" applyFont="1" applyFill="1" applyBorder="1"/>
    <xf numFmtId="166" fontId="0" fillId="0" borderId="12" xfId="0" applyNumberFormat="1" applyFont="1" applyFill="1" applyBorder="1"/>
    <xf numFmtId="0" fontId="0" fillId="10" borderId="62" xfId="0" applyFont="1" applyFill="1" applyBorder="1"/>
    <xf numFmtId="166" fontId="0" fillId="10" borderId="61" xfId="0" applyNumberFormat="1" applyFont="1" applyFill="1" applyBorder="1"/>
    <xf numFmtId="0" fontId="0" fillId="10" borderId="68" xfId="0" applyFont="1" applyFill="1" applyBorder="1"/>
    <xf numFmtId="10" fontId="0" fillId="46" borderId="26" xfId="0" applyNumberFormat="1" applyFont="1" applyFill="1" applyBorder="1"/>
    <xf numFmtId="10" fontId="0" fillId="46" borderId="27" xfId="0" applyNumberFormat="1" applyFont="1" applyFill="1" applyBorder="1"/>
    <xf numFmtId="10" fontId="0" fillId="10" borderId="69" xfId="0" applyNumberFormat="1" applyFont="1" applyFill="1" applyBorder="1"/>
    <xf numFmtId="0" fontId="0" fillId="0" borderId="62" xfId="0" applyFill="1" applyBorder="1"/>
    <xf numFmtId="166" fontId="0" fillId="0" borderId="61" xfId="0" applyNumberFormat="1" applyFont="1" applyFill="1" applyBorder="1"/>
    <xf numFmtId="0" fontId="4" fillId="0" borderId="62" xfId="0" applyFont="1" applyFill="1" applyBorder="1"/>
    <xf numFmtId="166" fontId="4" fillId="46" borderId="26" xfId="0" applyNumberFormat="1" applyFont="1" applyFill="1" applyBorder="1"/>
    <xf numFmtId="166" fontId="4" fillId="46" borderId="27" xfId="0" applyNumberFormat="1" applyFont="1" applyFill="1" applyBorder="1"/>
    <xf numFmtId="166" fontId="4" fillId="0" borderId="61" xfId="0" applyNumberFormat="1" applyFont="1" applyFill="1" applyBorder="1"/>
    <xf numFmtId="0" fontId="4" fillId="0" borderId="68" xfId="0" applyFont="1" applyFill="1" applyBorder="1"/>
    <xf numFmtId="10" fontId="4" fillId="46" borderId="26" xfId="0" applyNumberFormat="1" applyFont="1" applyFill="1" applyBorder="1"/>
    <xf numFmtId="10" fontId="4" fillId="46" borderId="27" xfId="0" applyNumberFormat="1" applyFont="1" applyFill="1" applyBorder="1"/>
    <xf numFmtId="10" fontId="4" fillId="0" borderId="69" xfId="0" applyNumberFormat="1" applyFont="1" applyFill="1" applyBorder="1"/>
    <xf numFmtId="0" fontId="0" fillId="47" borderId="62" xfId="0" applyFill="1" applyBorder="1"/>
    <xf numFmtId="166" fontId="0" fillId="47" borderId="61" xfId="0" applyNumberFormat="1" applyFont="1" applyFill="1" applyBorder="1"/>
    <xf numFmtId="0" fontId="0" fillId="47" borderId="64" xfId="0" applyFill="1" applyBorder="1"/>
    <xf numFmtId="166" fontId="0" fillId="47" borderId="8" xfId="0" applyNumberFormat="1" applyFont="1" applyFill="1" applyBorder="1"/>
    <xf numFmtId="10" fontId="0" fillId="47" borderId="8" xfId="0" applyNumberFormat="1" applyFont="1" applyFill="1" applyBorder="1"/>
    <xf numFmtId="0" fontId="0" fillId="47" borderId="68" xfId="0" applyFill="1" applyBorder="1"/>
    <xf numFmtId="10" fontId="0" fillId="46" borderId="21" xfId="0" applyNumberFormat="1" applyFont="1" applyFill="1" applyBorder="1"/>
    <xf numFmtId="10" fontId="0" fillId="46" borderId="22" xfId="0" applyNumberFormat="1" applyFont="1" applyFill="1" applyBorder="1"/>
    <xf numFmtId="10" fontId="0" fillId="47" borderId="69" xfId="0" applyNumberFormat="1" applyFont="1" applyFill="1" applyBorder="1"/>
    <xf numFmtId="6" fontId="5" fillId="0" borderId="0" xfId="0" applyNumberFormat="1" applyFont="1"/>
    <xf numFmtId="43" fontId="5" fillId="0" borderId="0" xfId="1" applyFont="1" applyAlignment="1">
      <alignment horizontal="right"/>
    </xf>
    <xf numFmtId="0" fontId="5" fillId="0" borderId="0" xfId="0" applyFont="1" applyAlignment="1">
      <alignment wrapText="1"/>
    </xf>
    <xf numFmtId="3" fontId="0" fillId="0" borderId="0" xfId="0" applyNumberFormat="1"/>
    <xf numFmtId="164" fontId="23" fillId="44" borderId="0" xfId="1" applyNumberFormat="1" applyFont="1" applyFill="1"/>
    <xf numFmtId="42" fontId="42" fillId="44" borderId="0" xfId="0" applyNumberFormat="1" applyFont="1" applyFill="1" applyBorder="1"/>
    <xf numFmtId="42" fontId="75" fillId="44" borderId="0" xfId="0" applyNumberFormat="1" applyFont="1" applyFill="1" applyBorder="1"/>
    <xf numFmtId="0" fontId="42" fillId="44" borderId="0" xfId="0" applyFont="1" applyFill="1" applyBorder="1"/>
    <xf numFmtId="165" fontId="42" fillId="44" borderId="0" xfId="2" applyNumberFormat="1" applyFont="1" applyFill="1" applyBorder="1"/>
    <xf numFmtId="0" fontId="0" fillId="4" borderId="0" xfId="0" applyFill="1" applyBorder="1" applyAlignment="1"/>
    <xf numFmtId="0" fontId="3" fillId="0" borderId="0" xfId="0" applyFont="1" applyAlignment="1">
      <alignment horizontal="center"/>
    </xf>
    <xf numFmtId="0" fontId="3" fillId="0" borderId="0" xfId="0" applyFont="1" applyBorder="1" applyAlignment="1">
      <alignment horizontal="center"/>
    </xf>
    <xf numFmtId="0" fontId="3" fillId="0" borderId="27" xfId="0" applyFont="1" applyBorder="1" applyAlignment="1">
      <alignment horizontal="center"/>
    </xf>
    <xf numFmtId="0" fontId="17" fillId="0" borderId="0" xfId="142" applyFont="1" applyFill="1" applyBorder="1" applyAlignment="1">
      <alignment horizontal="left" indent="1"/>
    </xf>
    <xf numFmtId="10" fontId="0" fillId="0" borderId="0" xfId="2" applyNumberFormat="1" applyFont="1"/>
    <xf numFmtId="166" fontId="3" fillId="0" borderId="27" xfId="87" applyNumberFormat="1" applyFont="1" applyBorder="1"/>
    <xf numFmtId="0" fontId="3" fillId="0" borderId="25" xfId="0" applyFont="1" applyBorder="1" applyAlignment="1">
      <alignment horizontal="center"/>
    </xf>
    <xf numFmtId="164" fontId="127" fillId="5" borderId="0" xfId="1" applyNumberFormat="1" applyFont="1" applyFill="1"/>
    <xf numFmtId="164" fontId="127" fillId="0" borderId="0" xfId="1" applyNumberFormat="1" applyFont="1" applyFill="1"/>
    <xf numFmtId="164" fontId="127" fillId="0" borderId="0" xfId="1" applyNumberFormat="1" applyFont="1" applyFill="1" applyBorder="1"/>
    <xf numFmtId="164" fontId="127" fillId="7" borderId="0" xfId="1" applyNumberFormat="1" applyFont="1" applyFill="1"/>
    <xf numFmtId="41" fontId="127" fillId="5" borderId="0" xfId="1" applyNumberFormat="1" applyFont="1" applyFill="1"/>
    <xf numFmtId="41" fontId="127" fillId="0" borderId="0" xfId="1" applyNumberFormat="1" applyFont="1" applyFill="1" applyBorder="1"/>
    <xf numFmtId="164" fontId="128" fillId="0" borderId="0" xfId="0" applyNumberFormat="1" applyFont="1"/>
    <xf numFmtId="0" fontId="0" fillId="0" borderId="0" xfId="0" applyAlignment="1">
      <alignment horizontal="center"/>
    </xf>
    <xf numFmtId="172" fontId="129" fillId="0" borderId="0" xfId="0" applyNumberFormat="1" applyFont="1" applyBorder="1" applyAlignment="1" applyProtection="1">
      <alignment vertical="top" wrapText="1"/>
      <protection locked="0"/>
    </xf>
    <xf numFmtId="172" fontId="129" fillId="0" borderId="0" xfId="0" applyNumberFormat="1" applyFont="1" applyBorder="1"/>
    <xf numFmtId="172" fontId="129" fillId="0" borderId="2" xfId="0" applyNumberFormat="1" applyFont="1" applyFill="1" applyBorder="1"/>
    <xf numFmtId="172" fontId="129" fillId="10" borderId="0" xfId="0" applyNumberFormat="1" applyFont="1" applyFill="1" applyBorder="1" applyAlignment="1" applyProtection="1">
      <alignment vertical="top" wrapText="1"/>
      <protection locked="0"/>
    </xf>
    <xf numFmtId="0" fontId="129" fillId="0" borderId="0" xfId="0" applyFont="1" applyBorder="1" applyAlignment="1" applyProtection="1">
      <alignment vertical="top" wrapText="1"/>
      <protection locked="0"/>
    </xf>
    <xf numFmtId="0" fontId="0" fillId="0" borderId="0" xfId="0" applyAlignment="1">
      <alignment horizontal="center"/>
    </xf>
    <xf numFmtId="10" fontId="37" fillId="0" borderId="0" xfId="2" applyNumberFormat="1" applyFont="1" applyBorder="1"/>
    <xf numFmtId="0" fontId="3" fillId="0" borderId="3" xfId="0" applyFont="1" applyFill="1" applyBorder="1" applyAlignment="1">
      <alignment horizontal="center" vertical="center" wrapText="1"/>
    </xf>
    <xf numFmtId="0" fontId="8" fillId="0" borderId="70" xfId="0" applyFont="1" applyBorder="1" applyAlignment="1">
      <alignment horizontal="center" wrapText="1"/>
    </xf>
    <xf numFmtId="9" fontId="0" fillId="0" borderId="0" xfId="0" applyNumberFormat="1"/>
    <xf numFmtId="164" fontId="68" fillId="30" borderId="70" xfId="1" applyNumberFormat="1" applyFont="1" applyFill="1" applyBorder="1"/>
    <xf numFmtId="43" fontId="30" fillId="0" borderId="0" xfId="0" applyNumberFormat="1" applyFont="1" applyAlignment="1"/>
    <xf numFmtId="43" fontId="47" fillId="0" borderId="0" xfId="0" applyNumberFormat="1" applyFont="1" applyFill="1"/>
    <xf numFmtId="43" fontId="47" fillId="0" borderId="0" xfId="0" applyNumberFormat="1" applyFont="1"/>
    <xf numFmtId="164" fontId="23" fillId="5" borderId="4" xfId="1" applyNumberFormat="1" applyFont="1" applyFill="1" applyBorder="1" applyAlignment="1">
      <alignment vertical="center"/>
    </xf>
    <xf numFmtId="0" fontId="3" fillId="0" borderId="26" xfId="0" applyFont="1" applyBorder="1" applyAlignment="1">
      <alignment horizontal="left" wrapText="1" indent="2"/>
    </xf>
    <xf numFmtId="0" fontId="3" fillId="0" borderId="26" xfId="0" applyFont="1" applyFill="1" applyBorder="1" applyAlignment="1">
      <alignment horizontal="left" wrapText="1" indent="2"/>
    </xf>
    <xf numFmtId="164" fontId="23" fillId="29" borderId="0" xfId="1" applyNumberFormat="1" applyFont="1" applyFill="1"/>
    <xf numFmtId="164" fontId="47" fillId="0" borderId="0" xfId="0" applyNumberFormat="1" applyFont="1" applyBorder="1" applyAlignment="1">
      <alignment horizontal="center"/>
    </xf>
    <xf numFmtId="166" fontId="3" fillId="3" borderId="27" xfId="87" applyNumberFormat="1" applyFont="1" applyFill="1" applyBorder="1"/>
    <xf numFmtId="166" fontId="3" fillId="0" borderId="27" xfId="0" applyNumberFormat="1" applyFont="1" applyBorder="1"/>
    <xf numFmtId="164" fontId="38" fillId="0" borderId="14" xfId="2281" applyNumberFormat="1" applyFont="1" applyBorder="1"/>
    <xf numFmtId="164" fontId="38" fillId="0" borderId="17" xfId="2281" applyNumberFormat="1" applyFont="1" applyBorder="1"/>
    <xf numFmtId="179" fontId="0" fillId="0" borderId="0" xfId="0" applyNumberFormat="1"/>
    <xf numFmtId="164" fontId="18" fillId="40" borderId="3" xfId="0" applyNumberFormat="1" applyFont="1" applyFill="1" applyBorder="1"/>
    <xf numFmtId="164" fontId="18" fillId="40" borderId="7" xfId="1" applyNumberFormat="1" applyFont="1" applyFill="1" applyBorder="1"/>
    <xf numFmtId="43" fontId="5" fillId="0" borderId="0" xfId="0" applyNumberFormat="1" applyFont="1"/>
    <xf numFmtId="164" fontId="18" fillId="40" borderId="13" xfId="1" applyNumberFormat="1" applyFont="1" applyFill="1" applyBorder="1"/>
    <xf numFmtId="0" fontId="35" fillId="44" borderId="0" xfId="0" applyFont="1" applyFill="1" applyBorder="1"/>
    <xf numFmtId="164" fontId="35" fillId="44" borderId="0" xfId="1" applyNumberFormat="1" applyFont="1" applyFill="1" applyBorder="1"/>
    <xf numFmtId="0" fontId="36" fillId="44" borderId="0" xfId="0" applyFont="1" applyFill="1" applyBorder="1"/>
    <xf numFmtId="164" fontId="35" fillId="44" borderId="16" xfId="0" applyNumberFormat="1" applyFont="1" applyFill="1" applyBorder="1"/>
    <xf numFmtId="164" fontId="35" fillId="44" borderId="0" xfId="2281" applyNumberFormat="1" applyFont="1" applyFill="1" applyBorder="1"/>
    <xf numFmtId="0" fontId="24" fillId="40" borderId="2" xfId="0" applyFont="1" applyFill="1" applyBorder="1" applyAlignment="1">
      <alignment horizontal="center" vertical="center" wrapText="1"/>
    </xf>
    <xf numFmtId="164" fontId="0" fillId="2" borderId="0" xfId="1" applyNumberFormat="1" applyFont="1" applyFill="1"/>
    <xf numFmtId="0" fontId="3" fillId="40" borderId="0" xfId="0" applyFont="1" applyFill="1"/>
    <xf numFmtId="0" fontId="133" fillId="31" borderId="0" xfId="0" applyFont="1" applyFill="1" applyBorder="1" applyAlignment="1" applyProtection="1">
      <alignment horizontal="center" vertical="top" wrapText="1" readingOrder="1"/>
      <protection locked="0"/>
    </xf>
    <xf numFmtId="164" fontId="42" fillId="0" borderId="0" xfId="0" applyNumberFormat="1" applyFont="1" applyBorder="1" applyAlignment="1" applyProtection="1">
      <alignment vertical="top" wrapText="1"/>
      <protection locked="0"/>
    </xf>
    <xf numFmtId="0" fontId="104" fillId="3" borderId="0" xfId="0" applyFont="1" applyFill="1" applyBorder="1" applyAlignment="1" applyProtection="1">
      <alignment vertical="top" wrapText="1"/>
      <protection locked="0"/>
    </xf>
    <xf numFmtId="0" fontId="44" fillId="0" borderId="0" xfId="0" applyFont="1" applyFill="1" applyBorder="1" applyAlignment="1" applyProtection="1">
      <alignment horizontal="left" vertical="top"/>
      <protection locked="0"/>
    </xf>
    <xf numFmtId="3" fontId="134" fillId="0" borderId="0" xfId="0" applyNumberFormat="1" applyFont="1"/>
    <xf numFmtId="0" fontId="134" fillId="0" borderId="0" xfId="0" applyFont="1"/>
    <xf numFmtId="0" fontId="43" fillId="0" borderId="0" xfId="0" applyFont="1" applyFill="1" applyBorder="1" applyAlignment="1" applyProtection="1">
      <alignment horizontal="left" vertical="top" wrapText="1" indent="1"/>
      <protection locked="0"/>
    </xf>
    <xf numFmtId="0" fontId="75" fillId="3" borderId="0" xfId="0" applyFont="1" applyFill="1" applyBorder="1" applyAlignment="1" applyProtection="1">
      <alignment vertical="top" wrapText="1"/>
      <protection locked="0"/>
    </xf>
    <xf numFmtId="0" fontId="44" fillId="17" borderId="0" xfId="0" applyFont="1" applyFill="1" applyBorder="1" applyAlignment="1" applyProtection="1">
      <alignment horizontal="left" vertical="top"/>
      <protection locked="0"/>
    </xf>
    <xf numFmtId="164" fontId="41" fillId="0" borderId="0" xfId="1" applyNumberFormat="1" applyFont="1" applyFill="1" applyBorder="1" applyAlignment="1" applyProtection="1">
      <alignment horizontal="left" vertical="top" indent="1"/>
      <protection locked="0"/>
    </xf>
    <xf numFmtId="164" fontId="41" fillId="10" borderId="0" xfId="1" applyNumberFormat="1" applyFont="1" applyFill="1" applyBorder="1" applyAlignment="1" applyProtection="1">
      <alignment horizontal="left" vertical="top" indent="1"/>
      <protection locked="0"/>
    </xf>
    <xf numFmtId="164" fontId="104" fillId="0" borderId="0" xfId="1" applyNumberFormat="1" applyFont="1" applyBorder="1" applyAlignment="1" applyProtection="1">
      <alignment vertical="top" wrapText="1"/>
      <protection locked="0"/>
    </xf>
    <xf numFmtId="164" fontId="104" fillId="10" borderId="0" xfId="1" applyNumberFormat="1" applyFont="1" applyFill="1" applyBorder="1" applyAlignment="1" applyProtection="1">
      <alignment vertical="top" wrapText="1"/>
      <protection locked="0"/>
    </xf>
    <xf numFmtId="0" fontId="41" fillId="0" borderId="0" xfId="0" applyFont="1" applyFill="1" applyBorder="1" applyAlignment="1" applyProtection="1">
      <alignment horizontal="left" vertical="top" indent="1"/>
      <protection locked="0"/>
    </xf>
    <xf numFmtId="0" fontId="42" fillId="0" borderId="0" xfId="0" applyFont="1" applyFill="1" applyBorder="1" applyAlignment="1" applyProtection="1">
      <alignment horizontal="left" vertical="top" indent="1"/>
      <protection locked="0"/>
    </xf>
    <xf numFmtId="0" fontId="42" fillId="0" borderId="0" xfId="0" applyFont="1" applyFill="1" applyBorder="1" applyAlignment="1" applyProtection="1">
      <alignment horizontal="left" vertical="top" wrapText="1" indent="1"/>
      <protection locked="0"/>
    </xf>
    <xf numFmtId="172" fontId="104" fillId="17" borderId="0" xfId="0" applyNumberFormat="1" applyFont="1" applyFill="1" applyAlignment="1" applyProtection="1">
      <alignment vertical="top" wrapText="1"/>
      <protection locked="0"/>
    </xf>
    <xf numFmtId="0" fontId="75" fillId="0" borderId="0" xfId="0" applyFont="1"/>
    <xf numFmtId="0" fontId="70" fillId="0" borderId="71" xfId="0" applyFont="1" applyFill="1" applyBorder="1" applyAlignment="1" applyProtection="1">
      <alignment horizontal="left" vertical="top" readingOrder="1"/>
      <protection locked="0"/>
    </xf>
    <xf numFmtId="0" fontId="70" fillId="0" borderId="71" xfId="0" applyFont="1" applyFill="1" applyBorder="1" applyAlignment="1" applyProtection="1">
      <alignment horizontal="left" vertical="top" indent="1" readingOrder="1"/>
      <protection locked="0"/>
    </xf>
    <xf numFmtId="177" fontId="97" fillId="0" borderId="0" xfId="0" applyNumberFormat="1" applyFont="1" applyBorder="1"/>
    <xf numFmtId="172" fontId="75" fillId="0" borderId="0" xfId="0" applyNumberFormat="1" applyFont="1" applyBorder="1"/>
    <xf numFmtId="172" fontId="104" fillId="0" borderId="0" xfId="0" applyNumberFormat="1" applyFont="1" applyBorder="1"/>
    <xf numFmtId="0" fontId="70" fillId="0" borderId="0" xfId="0" applyFont="1" applyFill="1" applyBorder="1" applyAlignment="1" applyProtection="1">
      <alignment horizontal="left" vertical="top" indent="1" readingOrder="1"/>
      <protection locked="0"/>
    </xf>
    <xf numFmtId="0" fontId="44" fillId="0" borderId="33" xfId="0" applyFont="1" applyFill="1" applyBorder="1" applyAlignment="1" applyProtection="1">
      <alignment horizontal="left" vertical="top"/>
      <protection locked="0"/>
    </xf>
    <xf numFmtId="172" fontId="120" fillId="3" borderId="72" xfId="0" applyNumberFormat="1" applyFont="1" applyFill="1" applyBorder="1" applyAlignment="1" applyProtection="1">
      <alignment vertical="top" wrapText="1"/>
      <protection locked="0"/>
    </xf>
    <xf numFmtId="172" fontId="97" fillId="3" borderId="72" xfId="0" applyNumberFormat="1" applyFont="1" applyFill="1" applyBorder="1" applyAlignment="1" applyProtection="1">
      <alignment vertical="top" wrapText="1"/>
      <protection locked="0"/>
    </xf>
    <xf numFmtId="0" fontId="43" fillId="0" borderId="72" xfId="0" applyFont="1" applyBorder="1" applyAlignment="1" applyProtection="1">
      <alignment horizontal="left" vertical="top" wrapText="1" indent="1"/>
      <protection locked="0"/>
    </xf>
    <xf numFmtId="172" fontId="0" fillId="0" borderId="72" xfId="0" applyNumberFormat="1" applyBorder="1"/>
    <xf numFmtId="164" fontId="42" fillId="0" borderId="72" xfId="1" applyNumberFormat="1" applyFont="1" applyBorder="1" applyAlignment="1" applyProtection="1">
      <alignment horizontal="left" vertical="top" wrapText="1" indent="1"/>
      <protection locked="0"/>
    </xf>
    <xf numFmtId="0" fontId="120" fillId="0" borderId="0" xfId="0" applyFont="1" applyFill="1" applyBorder="1" applyAlignment="1" applyProtection="1">
      <alignment horizontal="left" vertical="top" indent="1"/>
      <protection locked="0"/>
    </xf>
    <xf numFmtId="0" fontId="120" fillId="0" borderId="0" xfId="0" applyFont="1" applyFill="1" applyBorder="1" applyAlignment="1" applyProtection="1">
      <alignment vertical="top" wrapText="1"/>
      <protection locked="0"/>
    </xf>
    <xf numFmtId="0" fontId="43" fillId="0" borderId="72" xfId="0" applyFont="1" applyFill="1" applyBorder="1" applyAlignment="1" applyProtection="1">
      <alignment horizontal="left" vertical="top" wrapText="1" indent="1"/>
      <protection locked="0"/>
    </xf>
    <xf numFmtId="0" fontId="0" fillId="0" borderId="72" xfId="0" applyBorder="1" applyAlignment="1" applyProtection="1">
      <alignment vertical="top" wrapText="1"/>
      <protection locked="0"/>
    </xf>
    <xf numFmtId="0" fontId="71" fillId="31" borderId="73" xfId="0" applyFont="1" applyFill="1" applyBorder="1" applyAlignment="1" applyProtection="1">
      <alignment horizontal="center" vertical="top" wrapText="1" readingOrder="1"/>
      <protection locked="0"/>
    </xf>
    <xf numFmtId="0" fontId="71" fillId="31" borderId="72" xfId="0" applyFont="1" applyFill="1" applyBorder="1" applyAlignment="1" applyProtection="1">
      <alignment horizontal="center" vertical="top" wrapText="1" readingOrder="1"/>
      <protection locked="0"/>
    </xf>
    <xf numFmtId="0" fontId="70" fillId="3" borderId="72" xfId="0" applyFont="1" applyFill="1" applyBorder="1" applyAlignment="1" applyProtection="1">
      <alignment horizontal="left" vertical="top" readingOrder="1"/>
      <protection locked="0"/>
    </xf>
    <xf numFmtId="0" fontId="72" fillId="3" borderId="72" xfId="0" applyFont="1" applyFill="1" applyBorder="1" applyAlignment="1" applyProtection="1">
      <alignment vertical="top" wrapText="1"/>
      <protection locked="0"/>
    </xf>
    <xf numFmtId="172" fontId="43" fillId="0" borderId="72" xfId="0" applyNumberFormat="1" applyFont="1" applyBorder="1" applyAlignment="1" applyProtection="1">
      <alignment vertical="top" wrapText="1"/>
      <protection locked="0"/>
    </xf>
    <xf numFmtId="0" fontId="0" fillId="0" borderId="0" xfId="0" applyAlignment="1">
      <alignment horizontal="center"/>
    </xf>
    <xf numFmtId="172" fontId="87" fillId="0" borderId="72" xfId="0" applyNumberFormat="1" applyFont="1" applyBorder="1" applyAlignment="1" applyProtection="1">
      <alignment vertical="top" wrapText="1"/>
      <protection locked="0"/>
    </xf>
    <xf numFmtId="177" fontId="129" fillId="0" borderId="0" xfId="0" applyNumberFormat="1" applyFont="1" applyBorder="1"/>
    <xf numFmtId="177" fontId="87" fillId="0" borderId="3" xfId="0" applyNumberFormat="1" applyFont="1" applyBorder="1" applyAlignment="1" applyProtection="1">
      <alignment vertical="top" wrapText="1"/>
      <protection locked="0"/>
    </xf>
    <xf numFmtId="164" fontId="108" fillId="0" borderId="70" xfId="1" applyNumberFormat="1" applyFont="1" applyBorder="1"/>
    <xf numFmtId="0" fontId="42" fillId="0" borderId="72" xfId="0" applyFont="1" applyBorder="1" applyAlignment="1">
      <alignment horizontal="center" wrapText="1"/>
    </xf>
    <xf numFmtId="1" fontId="129" fillId="0" borderId="0" xfId="0" applyNumberFormat="1" applyFont="1" applyBorder="1" applyAlignment="1" applyProtection="1">
      <alignment vertical="top" wrapText="1"/>
      <protection locked="0"/>
    </xf>
    <xf numFmtId="42" fontId="42" fillId="0" borderId="0" xfId="0" applyNumberFormat="1" applyFont="1" applyFill="1" applyBorder="1"/>
    <xf numFmtId="42" fontId="75" fillId="0" borderId="0" xfId="0" applyNumberFormat="1" applyFont="1" applyFill="1" applyBorder="1"/>
    <xf numFmtId="165" fontId="42" fillId="0" borderId="0" xfId="2" applyNumberFormat="1" applyFont="1" applyFill="1" applyBorder="1"/>
    <xf numFmtId="166" fontId="42" fillId="0" borderId="0" xfId="0" applyNumberFormat="1" applyFont="1"/>
    <xf numFmtId="166" fontId="42" fillId="0" borderId="2" xfId="0" applyNumberFormat="1" applyFont="1" applyBorder="1"/>
    <xf numFmtId="180" fontId="0" fillId="0" borderId="0" xfId="0" applyNumberFormat="1" applyBorder="1"/>
    <xf numFmtId="0" fontId="0" fillId="0" borderId="74" xfId="0" applyBorder="1"/>
    <xf numFmtId="42" fontId="42" fillId="0" borderId="74" xfId="0" applyNumberFormat="1" applyFont="1" applyBorder="1"/>
    <xf numFmtId="42" fontId="42" fillId="0" borderId="75" xfId="0" applyNumberFormat="1" applyFont="1" applyBorder="1"/>
    <xf numFmtId="0" fontId="42" fillId="0" borderId="2" xfId="0" applyFont="1" applyBorder="1" applyAlignment="1">
      <alignment horizontal="center"/>
    </xf>
    <xf numFmtId="0" fontId="42" fillId="0" borderId="2" xfId="0" applyFont="1" applyFill="1" applyBorder="1" applyAlignment="1">
      <alignment horizontal="center"/>
    </xf>
    <xf numFmtId="42" fontId="42" fillId="0" borderId="0" xfId="0" applyNumberFormat="1" applyFont="1"/>
    <xf numFmtId="0" fontId="43" fillId="10" borderId="72" xfId="0" applyFont="1" applyFill="1" applyBorder="1"/>
    <xf numFmtId="0" fontId="43" fillId="10" borderId="72" xfId="0" applyFont="1" applyFill="1" applyBorder="1" applyAlignment="1">
      <alignment horizontal="center" vertical="center" wrapText="1"/>
    </xf>
    <xf numFmtId="0" fontId="44" fillId="10" borderId="72" xfId="0" applyFont="1" applyFill="1" applyBorder="1" applyAlignment="1">
      <alignment horizontal="center" vertical="center" wrapText="1"/>
    </xf>
    <xf numFmtId="172" fontId="120" fillId="0" borderId="0" xfId="0" applyNumberFormat="1" applyFont="1" applyFill="1" applyBorder="1" applyAlignment="1" applyProtection="1">
      <alignment vertical="top" wrapText="1"/>
      <protection locked="0"/>
    </xf>
    <xf numFmtId="177" fontId="97" fillId="0" borderId="0" xfId="0" applyNumberFormat="1" applyFont="1" applyFill="1" applyBorder="1"/>
    <xf numFmtId="177" fontId="97" fillId="10" borderId="0" xfId="0" applyNumberFormat="1" applyFont="1" applyFill="1" applyBorder="1"/>
    <xf numFmtId="177" fontId="97" fillId="0" borderId="0" xfId="0" applyNumberFormat="1" applyFont="1"/>
    <xf numFmtId="177" fontId="97" fillId="10" borderId="0" xfId="0" applyNumberFormat="1" applyFont="1" applyFill="1"/>
    <xf numFmtId="177" fontId="97" fillId="10" borderId="0" xfId="0" applyNumberFormat="1" applyFont="1" applyFill="1" applyBorder="1" applyAlignment="1" applyProtection="1">
      <alignment vertical="top" wrapText="1"/>
      <protection locked="0"/>
    </xf>
    <xf numFmtId="0" fontId="4" fillId="0" borderId="0" xfId="0" applyFont="1" applyFill="1" applyBorder="1" applyAlignment="1">
      <alignment horizontal="right"/>
    </xf>
    <xf numFmtId="164" fontId="0" fillId="0" borderId="74" xfId="0" applyNumberFormat="1" applyFont="1" applyBorder="1"/>
    <xf numFmtId="164" fontId="4" fillId="0" borderId="74" xfId="0" applyNumberFormat="1" applyFont="1" applyBorder="1"/>
    <xf numFmtId="0" fontId="0" fillId="0" borderId="0" xfId="0" applyFont="1" applyAlignment="1">
      <alignment horizontal="left"/>
    </xf>
    <xf numFmtId="0" fontId="135" fillId="0" borderId="0" xfId="0" applyFont="1" applyBorder="1" applyAlignment="1">
      <alignment vertical="center" wrapText="1"/>
    </xf>
    <xf numFmtId="0" fontId="4" fillId="0" borderId="0" xfId="0" applyFont="1" applyAlignment="1">
      <alignment horizontal="right"/>
    </xf>
    <xf numFmtId="166" fontId="5" fillId="0" borderId="74" xfId="87" applyNumberFormat="1" applyFont="1" applyBorder="1"/>
    <xf numFmtId="164" fontId="0" fillId="0" borderId="76" xfId="0" applyNumberFormat="1" applyFont="1" applyBorder="1"/>
    <xf numFmtId="164" fontId="4" fillId="0" borderId="76" xfId="0" applyNumberFormat="1" applyFont="1" applyBorder="1"/>
    <xf numFmtId="15" fontId="0" fillId="0" borderId="0" xfId="0" applyNumberFormat="1"/>
    <xf numFmtId="165" fontId="35" fillId="6" borderId="3" xfId="2" applyNumberFormat="1" applyFont="1" applyFill="1" applyBorder="1"/>
    <xf numFmtId="0" fontId="41" fillId="0" borderId="0" xfId="0" applyFont="1" applyAlignment="1">
      <alignment horizontal="left" vertical="center" readingOrder="1"/>
    </xf>
    <xf numFmtId="41" fontId="42" fillId="0" borderId="0" xfId="0" applyNumberFormat="1" applyFont="1"/>
    <xf numFmtId="44" fontId="42" fillId="0" borderId="0" xfId="87" applyNumberFormat="1" applyFont="1"/>
    <xf numFmtId="41" fontId="43" fillId="0" borderId="77" xfId="0" applyNumberFormat="1" applyFont="1" applyBorder="1" applyAlignment="1">
      <alignment horizontal="center"/>
    </xf>
    <xf numFmtId="0" fontId="43" fillId="0" borderId="77" xfId="0" applyFont="1" applyBorder="1" applyAlignment="1">
      <alignment horizontal="center"/>
    </xf>
    <xf numFmtId="0" fontId="60" fillId="0" borderId="77" xfId="0" applyFont="1" applyBorder="1" applyAlignment="1">
      <alignment horizontal="center"/>
    </xf>
    <xf numFmtId="164" fontId="47" fillId="0" borderId="5" xfId="1" applyNumberFormat="1" applyFont="1" applyBorder="1"/>
    <xf numFmtId="44" fontId="42" fillId="0" borderId="5" xfId="87" applyNumberFormat="1" applyFont="1" applyBorder="1"/>
    <xf numFmtId="0" fontId="17" fillId="0" borderId="26" xfId="142" applyFont="1" applyFill="1" applyBorder="1" applyAlignment="1">
      <alignment horizontal="left" indent="2"/>
    </xf>
    <xf numFmtId="164" fontId="37" fillId="0" borderId="0" xfId="2" applyNumberFormat="1" applyFont="1" applyBorder="1"/>
    <xf numFmtId="10" fontId="35" fillId="6" borderId="3" xfId="2" applyNumberFormat="1" applyFont="1" applyFill="1" applyBorder="1"/>
    <xf numFmtId="41" fontId="35" fillId="4" borderId="27" xfId="142" applyNumberFormat="1" applyFont="1" applyFill="1" applyBorder="1"/>
    <xf numFmtId="164" fontId="136" fillId="4" borderId="27" xfId="0" applyNumberFormat="1" applyFont="1" applyFill="1" applyBorder="1"/>
    <xf numFmtId="0" fontId="35" fillId="0" borderId="0" xfId="0" applyFont="1" applyAlignment="1">
      <alignment horizontal="left" indent="2"/>
    </xf>
    <xf numFmtId="0" fontId="35" fillId="0" borderId="0" xfId="0" applyFont="1" applyAlignment="1">
      <alignment horizontal="left" indent="4"/>
    </xf>
    <xf numFmtId="164" fontId="35" fillId="0" borderId="0" xfId="1" applyNumberFormat="1" applyFont="1"/>
    <xf numFmtId="164" fontId="35" fillId="0" borderId="0" xfId="0" applyNumberFormat="1" applyFont="1"/>
    <xf numFmtId="176" fontId="35" fillId="0" borderId="0" xfId="1" applyNumberFormat="1" applyFont="1" applyFill="1" applyBorder="1"/>
    <xf numFmtId="171" fontId="30" fillId="8" borderId="0" xfId="0" applyNumberFormat="1" applyFont="1" applyFill="1" applyBorder="1" applyAlignment="1">
      <alignment vertical="center" wrapText="1"/>
    </xf>
    <xf numFmtId="37" fontId="24" fillId="17" borderId="0" xfId="0" applyNumberFormat="1" applyFont="1" applyFill="1" applyBorder="1" applyAlignment="1">
      <alignment horizontal="center" vertical="center"/>
    </xf>
    <xf numFmtId="0" fontId="42" fillId="0" borderId="75" xfId="0" applyFont="1" applyBorder="1" applyAlignment="1">
      <alignment horizontal="center" vertical="center" wrapText="1"/>
    </xf>
    <xf numFmtId="164" fontId="47" fillId="34" borderId="77" xfId="0" applyNumberFormat="1" applyFont="1" applyFill="1" applyBorder="1"/>
    <xf numFmtId="164" fontId="23" fillId="34" borderId="77" xfId="144" applyNumberFormat="1" applyFont="1" applyFill="1" applyBorder="1"/>
    <xf numFmtId="164" fontId="68" fillId="30" borderId="76" xfId="1" applyNumberFormat="1" applyFont="1" applyFill="1" applyBorder="1"/>
    <xf numFmtId="0" fontId="3" fillId="0" borderId="77" xfId="0" applyFont="1" applyBorder="1"/>
    <xf numFmtId="0" fontId="44" fillId="10" borderId="0" xfId="0" applyFont="1" applyFill="1" applyBorder="1" applyAlignment="1" applyProtection="1">
      <alignment horizontal="left" vertical="top" indent="1"/>
      <protection locked="0"/>
    </xf>
    <xf numFmtId="0" fontId="43" fillId="0" borderId="77" xfId="0" applyFont="1" applyBorder="1" applyAlignment="1" applyProtection="1">
      <alignment horizontal="left" vertical="top" wrapText="1" indent="1"/>
      <protection locked="0"/>
    </xf>
    <xf numFmtId="0" fontId="70" fillId="31" borderId="78" xfId="0" applyFont="1" applyFill="1" applyBorder="1" applyAlignment="1" applyProtection="1">
      <alignment horizontal="center" vertical="center" wrapText="1" readingOrder="1"/>
      <protection locked="0"/>
    </xf>
    <xf numFmtId="177" fontId="104" fillId="0" borderId="0" xfId="0" applyNumberFormat="1" applyFont="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indent="2"/>
    </xf>
    <xf numFmtId="169" fontId="0" fillId="0" borderId="0" xfId="87" applyNumberFormat="1" applyFont="1"/>
    <xf numFmtId="0" fontId="0" fillId="0" borderId="23" xfId="0" applyBorder="1"/>
    <xf numFmtId="0" fontId="137" fillId="0" borderId="0" xfId="0" applyFont="1"/>
    <xf numFmtId="0" fontId="136" fillId="0" borderId="77" xfId="0" applyFont="1" applyBorder="1"/>
    <xf numFmtId="0" fontId="0" fillId="0" borderId="77" xfId="0" applyBorder="1" applyAlignment="1">
      <alignment horizontal="center" wrapText="1"/>
    </xf>
    <xf numFmtId="0" fontId="0" fillId="0" borderId="77" xfId="0" applyFill="1" applyBorder="1" applyAlignment="1">
      <alignment horizontal="center" wrapText="1"/>
    </xf>
    <xf numFmtId="171" fontId="0" fillId="3" borderId="0" xfId="0" applyNumberFormat="1" applyFill="1"/>
    <xf numFmtId="176" fontId="0" fillId="0" borderId="0" xfId="0" applyNumberFormat="1"/>
    <xf numFmtId="0" fontId="44" fillId="0" borderId="0" xfId="0" applyFont="1" applyFill="1" applyAlignment="1" applyProtection="1">
      <alignment horizontal="left" vertical="top" indent="1"/>
      <protection locked="0"/>
    </xf>
    <xf numFmtId="0" fontId="44" fillId="0" borderId="75" xfId="0" applyFont="1" applyFill="1" applyBorder="1" applyAlignment="1" applyProtection="1">
      <alignment horizontal="left" vertical="top" indent="1"/>
      <protection locked="0"/>
    </xf>
    <xf numFmtId="0" fontId="0" fillId="0" borderId="76" xfId="0" applyBorder="1" applyAlignment="1">
      <alignment horizontal="center"/>
    </xf>
    <xf numFmtId="0" fontId="67" fillId="0" borderId="75" xfId="0" applyFont="1" applyFill="1" applyBorder="1" applyAlignment="1">
      <alignment horizontal="center" vertical="center" wrapText="1"/>
    </xf>
    <xf numFmtId="0" fontId="20" fillId="0" borderId="77" xfId="142" applyFont="1" applyBorder="1" applyAlignment="1">
      <alignment horizontal="left"/>
    </xf>
    <xf numFmtId="164" fontId="21" fillId="0" borderId="77" xfId="2281" applyNumberFormat="1" applyFont="1" applyFill="1" applyBorder="1" applyAlignment="1">
      <alignment vertical="center"/>
    </xf>
    <xf numFmtId="0" fontId="0" fillId="3" borderId="77" xfId="0" applyFill="1" applyBorder="1"/>
    <xf numFmtId="41" fontId="42" fillId="3" borderId="77" xfId="0" applyNumberFormat="1" applyFont="1" applyFill="1" applyBorder="1"/>
    <xf numFmtId="41" fontId="139" fillId="4" borderId="0" xfId="142" applyNumberFormat="1" applyFont="1" applyFill="1"/>
    <xf numFmtId="164" fontId="41" fillId="3" borderId="77" xfId="0" applyNumberFormat="1" applyFont="1" applyFill="1" applyBorder="1"/>
    <xf numFmtId="0" fontId="3" fillId="3" borderId="77" xfId="0" applyFont="1" applyFill="1" applyBorder="1"/>
    <xf numFmtId="164" fontId="44" fillId="3" borderId="77" xfId="0" applyNumberFormat="1" applyFont="1" applyFill="1" applyBorder="1"/>
    <xf numFmtId="0" fontId="42" fillId="0" borderId="76" xfId="0" applyFont="1" applyBorder="1"/>
    <xf numFmtId="164" fontId="67" fillId="27" borderId="0" xfId="0" applyNumberFormat="1" applyFont="1" applyFill="1"/>
    <xf numFmtId="164" fontId="41" fillId="19" borderId="0" xfId="0" applyNumberFormat="1" applyFont="1" applyFill="1" applyBorder="1"/>
    <xf numFmtId="0" fontId="60" fillId="0" borderId="76" xfId="0" applyFont="1" applyBorder="1" applyAlignment="1">
      <alignment horizontal="center" vertical="center" wrapText="1"/>
    </xf>
    <xf numFmtId="164" fontId="47" fillId="0" borderId="0" xfId="0" applyNumberFormat="1" applyFont="1" applyFill="1"/>
    <xf numFmtId="164" fontId="47" fillId="3" borderId="0" xfId="0" applyNumberFormat="1" applyFont="1" applyFill="1"/>
    <xf numFmtId="41" fontId="47" fillId="0" borderId="0" xfId="1" applyNumberFormat="1" applyFont="1" applyFill="1"/>
    <xf numFmtId="41" fontId="47" fillId="0" borderId="0" xfId="1" applyNumberFormat="1" applyFont="1"/>
    <xf numFmtId="41" fontId="47" fillId="7" borderId="0" xfId="1" applyNumberFormat="1" applyFont="1" applyFill="1"/>
    <xf numFmtId="0" fontId="47" fillId="3" borderId="0" xfId="0" applyFont="1" applyFill="1"/>
    <xf numFmtId="41" fontId="47" fillId="0" borderId="19" xfId="0" applyNumberFormat="1" applyFont="1" applyBorder="1"/>
    <xf numFmtId="41" fontId="47" fillId="0" borderId="26" xfId="0" applyNumberFormat="1" applyFont="1" applyBorder="1"/>
    <xf numFmtId="164" fontId="47" fillId="0" borderId="0" xfId="1" applyNumberFormat="1" applyFont="1" applyBorder="1"/>
    <xf numFmtId="164" fontId="47" fillId="0" borderId="27" xfId="1" applyNumberFormat="1" applyFont="1" applyBorder="1"/>
    <xf numFmtId="41" fontId="47" fillId="0" borderId="0" xfId="0" applyNumberFormat="1" applyFont="1" applyBorder="1"/>
    <xf numFmtId="41" fontId="47" fillId="0" borderId="21" xfId="0" applyNumberFormat="1" applyFont="1" applyBorder="1"/>
    <xf numFmtId="164" fontId="47" fillId="0" borderId="22" xfId="1" applyNumberFormat="1" applyFont="1" applyBorder="1"/>
    <xf numFmtId="41" fontId="47" fillId="3" borderId="0" xfId="0" applyNumberFormat="1" applyFont="1" applyFill="1"/>
    <xf numFmtId="165" fontId="47" fillId="0" borderId="0" xfId="2" applyNumberFormat="1" applyFont="1" applyBorder="1"/>
    <xf numFmtId="164" fontId="47" fillId="44" borderId="0" xfId="0" applyNumberFormat="1" applyFont="1" applyFill="1"/>
    <xf numFmtId="164" fontId="49" fillId="15" borderId="0" xfId="0" applyNumberFormat="1" applyFont="1" applyFill="1"/>
    <xf numFmtId="37" fontId="24" fillId="44" borderId="0" xfId="0" applyNumberFormat="1" applyFont="1" applyFill="1" applyBorder="1" applyAlignment="1">
      <alignment vertical="center"/>
    </xf>
    <xf numFmtId="164" fontId="23" fillId="0" borderId="0" xfId="0" applyNumberFormat="1" applyFont="1"/>
    <xf numFmtId="164" fontId="60" fillId="29" borderId="77" xfId="0" applyNumberFormat="1" applyFont="1" applyFill="1" applyBorder="1"/>
    <xf numFmtId="164" fontId="24" fillId="29" borderId="77" xfId="144" applyNumberFormat="1" applyFont="1" applyFill="1" applyBorder="1"/>
    <xf numFmtId="0" fontId="47" fillId="0" borderId="25" xfId="0" applyFont="1" applyBorder="1" applyAlignment="1">
      <alignment horizontal="center" wrapText="1"/>
    </xf>
    <xf numFmtId="165" fontId="47" fillId="0" borderId="25" xfId="2" applyNumberFormat="1" applyFont="1" applyBorder="1" applyAlignment="1">
      <alignment horizontal="center" wrapText="1"/>
    </xf>
    <xf numFmtId="165" fontId="47" fillId="0" borderId="20" xfId="2" applyNumberFormat="1" applyFont="1" applyBorder="1" applyAlignment="1">
      <alignment horizontal="center" wrapText="1"/>
    </xf>
    <xf numFmtId="0" fontId="30" fillId="20" borderId="25" xfId="0" applyFont="1" applyFill="1" applyBorder="1" applyAlignment="1"/>
    <xf numFmtId="0" fontId="24" fillId="0" borderId="0" xfId="0" applyFont="1" applyAlignment="1">
      <alignment horizontal="center" wrapText="1"/>
    </xf>
    <xf numFmtId="164" fontId="14" fillId="0" borderId="0" xfId="0" applyNumberFormat="1" applyFont="1"/>
    <xf numFmtId="44" fontId="14" fillId="0" borderId="0" xfId="0" applyNumberFormat="1" applyFont="1"/>
    <xf numFmtId="164" fontId="0" fillId="0" borderId="0" xfId="2" applyNumberFormat="1" applyFont="1"/>
    <xf numFmtId="164" fontId="23" fillId="3" borderId="0" xfId="1" applyNumberFormat="1" applyFont="1" applyFill="1"/>
    <xf numFmtId="0" fontId="25" fillId="48" borderId="0" xfId="142" applyFont="1" applyFill="1" applyAlignment="1">
      <alignment vertical="center"/>
    </xf>
    <xf numFmtId="41" fontId="21" fillId="48" borderId="0" xfId="142" applyNumberFormat="1" applyFont="1" applyFill="1" applyAlignment="1">
      <alignment vertical="center"/>
    </xf>
    <xf numFmtId="0" fontId="23" fillId="0" borderId="0" xfId="1" applyNumberFormat="1" applyFont="1" applyFill="1"/>
    <xf numFmtId="0" fontId="23" fillId="0" borderId="0" xfId="1" applyNumberFormat="1" applyFont="1" applyFill="1" applyBorder="1"/>
    <xf numFmtId="0" fontId="23" fillId="7" borderId="0" xfId="1" applyNumberFormat="1" applyFont="1" applyFill="1" applyBorder="1"/>
    <xf numFmtId="0" fontId="23" fillId="29" borderId="0" xfId="144" applyFont="1" applyFill="1" applyBorder="1"/>
    <xf numFmtId="0" fontId="0" fillId="0" borderId="79" xfId="0" applyBorder="1"/>
    <xf numFmtId="0" fontId="0" fillId="0" borderId="79" xfId="0" applyBorder="1" applyAlignment="1">
      <alignment horizontal="center"/>
    </xf>
    <xf numFmtId="0" fontId="0" fillId="3" borderId="0" xfId="0" applyFill="1" applyAlignment="1">
      <alignment horizontal="left" indent="1"/>
    </xf>
    <xf numFmtId="164" fontId="0" fillId="3" borderId="0" xfId="1" applyNumberFormat="1" applyFont="1" applyFill="1"/>
    <xf numFmtId="0" fontId="0" fillId="44" borderId="0" xfId="0" applyFill="1"/>
    <xf numFmtId="164" fontId="0" fillId="44" borderId="0" xfId="1" applyNumberFormat="1" applyFont="1" applyFill="1"/>
    <xf numFmtId="164" fontId="14" fillId="3" borderId="0" xfId="1" applyNumberFormat="1" applyFont="1" applyFill="1"/>
    <xf numFmtId="164" fontId="0" fillId="44" borderId="0" xfId="0" applyNumberFormat="1" applyFill="1"/>
    <xf numFmtId="164" fontId="0" fillId="3" borderId="0" xfId="0" applyNumberFormat="1" applyFill="1"/>
    <xf numFmtId="164" fontId="126" fillId="0" borderId="16" xfId="1" applyNumberFormat="1" applyFont="1" applyFill="1" applyBorder="1"/>
    <xf numFmtId="0" fontId="47" fillId="0" borderId="0" xfId="0" applyFont="1" applyAlignment="1">
      <alignment horizontal="center" vertical="center" wrapText="1"/>
    </xf>
    <xf numFmtId="181" fontId="24" fillId="3" borderId="0" xfId="2" applyNumberFormat="1" applyFont="1" applyFill="1" applyAlignment="1">
      <alignment vertical="center"/>
    </xf>
    <xf numFmtId="182" fontId="24" fillId="0" borderId="0" xfId="0" applyNumberFormat="1" applyFont="1" applyBorder="1" applyAlignment="1">
      <alignment vertical="center"/>
    </xf>
    <xf numFmtId="0" fontId="42" fillId="3" borderId="0" xfId="0" applyFont="1" applyFill="1"/>
    <xf numFmtId="0" fontId="47" fillId="29" borderId="80" xfId="0" applyFont="1" applyFill="1" applyBorder="1"/>
    <xf numFmtId="16" fontId="0" fillId="0" borderId="0" xfId="0" applyNumberFormat="1"/>
    <xf numFmtId="164" fontId="47" fillId="28" borderId="0" xfId="1" applyNumberFormat="1" applyFont="1" applyFill="1"/>
    <xf numFmtId="164" fontId="49" fillId="28" borderId="0" xfId="1" applyNumberFormat="1" applyFont="1" applyFill="1"/>
    <xf numFmtId="0" fontId="0" fillId="0" borderId="80" xfId="0" applyBorder="1"/>
    <xf numFmtId="0" fontId="24" fillId="0" borderId="80" xfId="0" applyFont="1" applyBorder="1" applyAlignment="1">
      <alignment horizontal="center" wrapText="1"/>
    </xf>
    <xf numFmtId="0" fontId="24" fillId="0" borderId="80" xfId="0" applyFont="1" applyBorder="1" applyAlignment="1">
      <alignment horizontal="center" vertical="center" wrapText="1"/>
    </xf>
    <xf numFmtId="164" fontId="23" fillId="0" borderId="0" xfId="1" applyNumberFormat="1" applyFont="1"/>
    <xf numFmtId="165" fontId="23" fillId="5" borderId="0" xfId="2" applyNumberFormat="1" applyFont="1" applyFill="1"/>
    <xf numFmtId="165" fontId="23" fillId="0" borderId="0" xfId="2" applyNumberFormat="1" applyFont="1" applyFill="1"/>
    <xf numFmtId="165" fontId="23" fillId="0" borderId="0" xfId="2" applyNumberFormat="1" applyFont="1" applyFill="1" applyBorder="1"/>
    <xf numFmtId="165" fontId="23" fillId="7" borderId="0" xfId="2" applyNumberFormat="1" applyFont="1" applyFill="1"/>
    <xf numFmtId="164" fontId="24" fillId="0" borderId="80" xfId="144" applyNumberFormat="1" applyFont="1" applyFill="1" applyBorder="1"/>
    <xf numFmtId="164" fontId="47" fillId="29" borderId="80" xfId="0" applyNumberFormat="1" applyFont="1" applyFill="1" applyBorder="1"/>
    <xf numFmtId="165" fontId="47" fillId="29" borderId="80" xfId="2" applyNumberFormat="1" applyFont="1" applyFill="1" applyBorder="1"/>
    <xf numFmtId="165" fontId="0" fillId="0" borderId="0" xfId="2" applyNumberFormat="1" applyFont="1" applyFill="1"/>
    <xf numFmtId="165" fontId="23" fillId="7" borderId="0" xfId="2" applyNumberFormat="1" applyFont="1" applyFill="1" applyBorder="1"/>
    <xf numFmtId="165" fontId="68" fillId="30" borderId="76" xfId="2" applyNumberFormat="1" applyFont="1" applyFill="1" applyBorder="1"/>
    <xf numFmtId="164" fontId="23" fillId="5" borderId="0" xfId="1" applyNumberFormat="1" applyFont="1" applyFill="1" applyBorder="1" applyAlignment="1">
      <alignment vertical="center"/>
    </xf>
    <xf numFmtId="0" fontId="0" fillId="0" borderId="0" xfId="0" applyAlignment="1">
      <alignment horizontal="left" vertical="center"/>
    </xf>
    <xf numFmtId="41" fontId="140" fillId="0" borderId="27" xfId="0" applyNumberFormat="1" applyFont="1" applyBorder="1"/>
    <xf numFmtId="164" fontId="141" fillId="0" borderId="0" xfId="1" applyNumberFormat="1" applyFont="1"/>
    <xf numFmtId="0" fontId="141" fillId="0" borderId="0" xfId="0" applyFont="1"/>
    <xf numFmtId="164" fontId="141" fillId="0" borderId="0" xfId="1" applyNumberFormat="1" applyFont="1" applyAlignment="1">
      <alignment horizontal="center"/>
    </xf>
    <xf numFmtId="0" fontId="141" fillId="0" borderId="0" xfId="0" applyFont="1" applyAlignment="1">
      <alignment horizontal="center"/>
    </xf>
    <xf numFmtId="41" fontId="140" fillId="0" borderId="0" xfId="0" applyNumberFormat="1" applyFont="1" applyFill="1"/>
    <xf numFmtId="41" fontId="141" fillId="0" borderId="0" xfId="0" applyNumberFormat="1" applyFont="1"/>
    <xf numFmtId="41" fontId="140" fillId="0" borderId="27" xfId="0" applyNumberFormat="1" applyFont="1" applyFill="1" applyBorder="1"/>
    <xf numFmtId="0" fontId="112" fillId="0" borderId="26" xfId="0" applyFont="1" applyFill="1" applyBorder="1" applyAlignment="1">
      <alignment horizontal="left" indent="2"/>
    </xf>
    <xf numFmtId="41" fontId="142" fillId="0" borderId="27" xfId="0" applyNumberFormat="1" applyFont="1" applyFill="1" applyBorder="1"/>
    <xf numFmtId="41" fontId="78" fillId="0" borderId="27" xfId="0" applyNumberFormat="1" applyFont="1" applyBorder="1"/>
    <xf numFmtId="164" fontId="143" fillId="0" borderId="0" xfId="1" applyNumberFormat="1" applyFont="1" applyFill="1" applyBorder="1"/>
    <xf numFmtId="41" fontId="143" fillId="5" borderId="0" xfId="1" applyNumberFormat="1" applyFont="1" applyFill="1"/>
    <xf numFmtId="164" fontId="145" fillId="0" borderId="0" xfId="1" applyNumberFormat="1" applyFont="1" applyFill="1" applyBorder="1"/>
    <xf numFmtId="0" fontId="144" fillId="0" borderId="0" xfId="0" applyFont="1" applyFill="1" applyBorder="1"/>
    <xf numFmtId="164" fontId="145" fillId="5" borderId="0" xfId="1" applyNumberFormat="1" applyFont="1" applyFill="1"/>
    <xf numFmtId="164" fontId="140" fillId="7" borderId="0" xfId="1" applyNumberFormat="1" applyFont="1" applyFill="1"/>
    <xf numFmtId="43" fontId="23" fillId="5" borderId="0" xfId="1" applyNumberFormat="1" applyFont="1" applyFill="1"/>
    <xf numFmtId="3" fontId="47" fillId="0" borderId="0" xfId="0" applyNumberFormat="1" applyFont="1"/>
    <xf numFmtId="43" fontId="47" fillId="0" borderId="24" xfId="0" applyNumberFormat="1" applyFont="1" applyBorder="1"/>
    <xf numFmtId="0" fontId="3" fillId="0" borderId="20" xfId="0" applyFont="1" applyBorder="1" applyAlignment="1">
      <alignment horizontal="center"/>
    </xf>
    <xf numFmtId="164" fontId="24" fillId="44" borderId="0" xfId="1" applyNumberFormat="1" applyFont="1" applyFill="1"/>
    <xf numFmtId="164" fontId="24" fillId="5" borderId="0" xfId="1" applyNumberFormat="1" applyFont="1" applyFill="1"/>
    <xf numFmtId="43" fontId="23" fillId="0" borderId="0" xfId="0" applyNumberFormat="1" applyFont="1"/>
    <xf numFmtId="164" fontId="24" fillId="7" borderId="0" xfId="1" applyNumberFormat="1" applyFont="1" applyFill="1"/>
    <xf numFmtId="172" fontId="14" fillId="0" borderId="0" xfId="0" applyNumberFormat="1" applyFont="1"/>
    <xf numFmtId="164" fontId="5" fillId="0" borderId="75" xfId="0" applyNumberFormat="1" applyFont="1" applyBorder="1"/>
    <xf numFmtId="164" fontId="23" fillId="3" borderId="0" xfId="1" applyNumberFormat="1" applyFont="1" applyFill="1" applyBorder="1"/>
    <xf numFmtId="166" fontId="0" fillId="9" borderId="43" xfId="87" applyNumberFormat="1" applyFont="1" applyFill="1" applyBorder="1" applyAlignment="1" applyProtection="1">
      <alignment horizontal="center" vertical="center"/>
      <protection locked="0"/>
    </xf>
    <xf numFmtId="166" fontId="0" fillId="9" borderId="47" xfId="87" applyNumberFormat="1" applyFont="1" applyFill="1" applyBorder="1" applyAlignment="1" applyProtection="1">
      <alignment horizontal="center" vertical="center"/>
      <protection locked="0"/>
    </xf>
    <xf numFmtId="166" fontId="0" fillId="9" borderId="57" xfId="87" applyNumberFormat="1" applyFont="1" applyFill="1" applyBorder="1" applyAlignment="1" applyProtection="1">
      <alignment horizontal="center" vertical="center"/>
      <protection locked="0"/>
    </xf>
    <xf numFmtId="10" fontId="0" fillId="29" borderId="53" xfId="2" applyNumberFormat="1" applyFont="1" applyFill="1" applyBorder="1" applyAlignment="1" applyProtection="1">
      <alignment horizontal="center" vertical="center"/>
      <protection locked="0"/>
    </xf>
    <xf numFmtId="10" fontId="0" fillId="29" borderId="55" xfId="2" applyNumberFormat="1" applyFont="1" applyFill="1" applyBorder="1" applyAlignment="1" applyProtection="1">
      <alignment horizontal="center" vertical="center"/>
      <protection locked="0"/>
    </xf>
    <xf numFmtId="10" fontId="0" fillId="29" borderId="56" xfId="2" applyNumberFormat="1" applyFont="1" applyFill="1" applyBorder="1" applyAlignment="1" applyProtection="1">
      <alignment horizontal="center" vertical="center"/>
      <protection locked="0"/>
    </xf>
    <xf numFmtId="0" fontId="3" fillId="10" borderId="23" xfId="0" applyFont="1" applyFill="1" applyBorder="1" applyAlignment="1" applyProtection="1">
      <alignment horizontal="center" vertical="center" wrapText="1"/>
      <protection locked="0"/>
    </xf>
    <xf numFmtId="0" fontId="3" fillId="10" borderId="29" xfId="0" applyFont="1" applyFill="1" applyBorder="1" applyAlignment="1" applyProtection="1">
      <alignment horizontal="center" vertical="center" wrapText="1"/>
      <protection locked="0"/>
    </xf>
    <xf numFmtId="0" fontId="3" fillId="10" borderId="24" xfId="0" applyFont="1" applyFill="1" applyBorder="1" applyAlignment="1" applyProtection="1">
      <alignment horizontal="center" vertical="center" wrapText="1"/>
      <protection locked="0"/>
    </xf>
    <xf numFmtId="0" fontId="3" fillId="10" borderId="21" xfId="0" applyFont="1" applyFill="1" applyBorder="1" applyAlignment="1" applyProtection="1">
      <alignment horizontal="center" vertical="center" wrapText="1"/>
      <protection locked="0"/>
    </xf>
    <xf numFmtId="0" fontId="3" fillId="10" borderId="28" xfId="0" applyFont="1" applyFill="1" applyBorder="1" applyAlignment="1" applyProtection="1">
      <alignment horizontal="center" vertical="center" wrapText="1"/>
      <protection locked="0"/>
    </xf>
    <xf numFmtId="0" fontId="3" fillId="10" borderId="22" xfId="0" applyFont="1" applyFill="1" applyBorder="1" applyAlignment="1" applyProtection="1">
      <alignment horizontal="center" vertical="center" wrapText="1"/>
      <protection locked="0"/>
    </xf>
    <xf numFmtId="166" fontId="0" fillId="9" borderId="45" xfId="87" applyNumberFormat="1" applyFont="1" applyFill="1" applyBorder="1" applyAlignment="1" applyProtection="1">
      <alignment horizontal="center" vertical="center"/>
      <protection locked="0"/>
    </xf>
    <xf numFmtId="166" fontId="0" fillId="9" borderId="10" xfId="87" applyNumberFormat="1" applyFont="1" applyFill="1" applyBorder="1" applyAlignment="1" applyProtection="1">
      <alignment horizontal="center" vertical="center"/>
      <protection locked="0"/>
    </xf>
    <xf numFmtId="10" fontId="0" fillId="29" borderId="51" xfId="0" applyNumberFormat="1" applyFont="1" applyFill="1" applyBorder="1" applyAlignment="1">
      <alignment horizontal="center" vertical="center"/>
    </xf>
    <xf numFmtId="0" fontId="0" fillId="29" borderId="17" xfId="0" applyFont="1" applyFill="1" applyBorder="1" applyAlignment="1">
      <alignment horizontal="center" vertical="center"/>
    </xf>
    <xf numFmtId="0" fontId="5" fillId="0" borderId="0" xfId="0" applyFont="1" applyAlignment="1" applyProtection="1">
      <alignment horizontal="left" vertical="center" wrapText="1"/>
      <protection locked="0"/>
    </xf>
    <xf numFmtId="0" fontId="0" fillId="0" borderId="0" xfId="0" applyFont="1" applyFill="1" applyBorder="1" applyAlignment="1" applyProtection="1">
      <alignment horizontal="left"/>
      <protection locked="0"/>
    </xf>
    <xf numFmtId="0" fontId="3" fillId="0" borderId="19"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64" fontId="23" fillId="5" borderId="4" xfId="1" applyNumberFormat="1" applyFont="1" applyFill="1" applyBorder="1" applyAlignment="1">
      <alignment horizontal="center" vertical="center"/>
    </xf>
    <xf numFmtId="164" fontId="23" fillId="5" borderId="0" xfId="1" applyNumberFormat="1" applyFont="1" applyFill="1" applyBorder="1" applyAlignment="1">
      <alignment horizontal="center" vertical="center"/>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horizontal="center" vertical="center" wrapText="1"/>
    </xf>
    <xf numFmtId="0" fontId="60" fillId="0" borderId="7" xfId="0" applyFont="1" applyBorder="1" applyAlignment="1">
      <alignment horizontal="center"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4" fillId="0" borderId="3" xfId="0" applyFont="1" applyBorder="1" applyAlignment="1" applyProtection="1">
      <alignment horizontal="center"/>
      <protection locked="0"/>
    </xf>
    <xf numFmtId="0" fontId="34" fillId="0" borderId="0" xfId="0" applyFont="1" applyBorder="1" applyAlignment="1">
      <alignment horizontal="left"/>
    </xf>
    <xf numFmtId="0" fontId="16" fillId="0" borderId="0" xfId="0" applyFont="1" applyBorder="1" applyAlignment="1">
      <alignment horizontal="left"/>
    </xf>
    <xf numFmtId="164" fontId="21" fillId="0" borderId="3" xfId="1" applyNumberFormat="1" applyFont="1" applyBorder="1" applyAlignment="1">
      <alignment horizontal="center"/>
    </xf>
    <xf numFmtId="164" fontId="21" fillId="0" borderId="8" xfId="1" applyNumberFormat="1" applyFont="1" applyBorder="1" applyAlignment="1">
      <alignment horizontal="center"/>
    </xf>
    <xf numFmtId="37" fontId="24" fillId="12" borderId="0" xfId="0" applyNumberFormat="1" applyFont="1" applyFill="1" applyBorder="1" applyAlignment="1">
      <alignment horizontal="center" vertical="center"/>
    </xf>
    <xf numFmtId="37" fontId="24" fillId="18" borderId="0" xfId="0" applyNumberFormat="1" applyFont="1" applyFill="1" applyBorder="1" applyAlignment="1">
      <alignment horizontal="center" vertical="center"/>
    </xf>
    <xf numFmtId="37" fontId="24" fillId="16" borderId="0" xfId="0" applyNumberFormat="1" applyFont="1" applyFill="1" applyBorder="1" applyAlignment="1">
      <alignment horizontal="center" vertical="center"/>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37" fontId="78" fillId="12" borderId="0" xfId="0" applyNumberFormat="1" applyFont="1" applyFill="1" applyBorder="1" applyAlignment="1">
      <alignment horizontal="center" vertical="center"/>
    </xf>
    <xf numFmtId="37" fontId="24" fillId="17" borderId="0" xfId="0" applyNumberFormat="1" applyFont="1" applyFill="1" applyAlignment="1">
      <alignment horizontal="center" vertical="center"/>
    </xf>
    <xf numFmtId="164" fontId="47" fillId="0" borderId="25" xfId="0" applyNumberFormat="1" applyFont="1" applyBorder="1" applyAlignment="1">
      <alignment horizontal="center"/>
    </xf>
    <xf numFmtId="164" fontId="47" fillId="0" borderId="20" xfId="0" applyNumberFormat="1" applyFont="1" applyBorder="1" applyAlignment="1">
      <alignment horizontal="center"/>
    </xf>
    <xf numFmtId="0" fontId="47" fillId="3" borderId="75" xfId="0" applyFont="1" applyFill="1" applyBorder="1" applyAlignment="1">
      <alignment horizontal="center"/>
    </xf>
    <xf numFmtId="164" fontId="23" fillId="5" borderId="0" xfId="1" applyNumberFormat="1" applyFont="1" applyFill="1" applyAlignment="1">
      <alignment horizontal="center" vertical="center"/>
    </xf>
    <xf numFmtId="0" fontId="0" fillId="44" borderId="75" xfId="0" applyFill="1" applyBorder="1" applyAlignment="1">
      <alignment horizontal="center"/>
    </xf>
    <xf numFmtId="37" fontId="24" fillId="17" borderId="2" xfId="0" applyNumberFormat="1" applyFont="1" applyFill="1" applyBorder="1" applyAlignment="1">
      <alignment horizontal="center" vertical="center"/>
    </xf>
    <xf numFmtId="37" fontId="24" fillId="17" borderId="75" xfId="0" applyNumberFormat="1" applyFont="1" applyFill="1" applyBorder="1" applyAlignment="1">
      <alignment horizontal="center" vertical="center"/>
    </xf>
    <xf numFmtId="10" fontId="42" fillId="21" borderId="25" xfId="0" applyNumberFormat="1" applyFont="1" applyFill="1" applyBorder="1" applyAlignment="1" applyProtection="1">
      <alignment horizontal="center" vertical="center"/>
      <protection locked="0"/>
    </xf>
    <xf numFmtId="10" fontId="42" fillId="21" borderId="0" xfId="0" applyNumberFormat="1" applyFont="1" applyFill="1" applyBorder="1" applyAlignment="1" applyProtection="1">
      <alignment horizontal="center" vertical="center"/>
      <protection locked="0"/>
    </xf>
    <xf numFmtId="0" fontId="0" fillId="0" borderId="0" xfId="0" applyAlignment="1">
      <alignment horizontal="center"/>
    </xf>
    <xf numFmtId="0" fontId="3" fillId="0" borderId="0" xfId="0" applyFont="1" applyAlignment="1">
      <alignment horizontal="center"/>
    </xf>
    <xf numFmtId="0" fontId="3" fillId="0" borderId="2" xfId="0" applyFont="1" applyBorder="1" applyAlignment="1">
      <alignment horizontal="center" wrapText="1"/>
    </xf>
    <xf numFmtId="0" fontId="47" fillId="5" borderId="0" xfId="0" applyFont="1" applyFill="1" applyAlignment="1">
      <alignment horizontal="center"/>
    </xf>
    <xf numFmtId="0" fontId="0" fillId="0" borderId="0" xfId="0" applyAlignment="1">
      <alignment horizontal="center" vertical="center" wrapText="1"/>
    </xf>
    <xf numFmtId="0" fontId="0" fillId="10" borderId="2" xfId="0" applyFill="1" applyBorder="1" applyAlignment="1">
      <alignment horizontal="center"/>
    </xf>
    <xf numFmtId="0" fontId="4" fillId="0" borderId="40" xfId="0" applyFont="1" applyBorder="1" applyAlignment="1">
      <alignment horizontal="center" vertical="center" textRotation="90"/>
    </xf>
    <xf numFmtId="0" fontId="4" fillId="0" borderId="32" xfId="0" applyFont="1" applyBorder="1" applyAlignment="1">
      <alignment horizontal="center" vertical="center" textRotation="90"/>
    </xf>
    <xf numFmtId="0" fontId="4" fillId="0" borderId="52" xfId="0" applyFont="1" applyBorder="1" applyAlignment="1">
      <alignment horizontal="center" vertical="center" textRotation="90"/>
    </xf>
    <xf numFmtId="0" fontId="4" fillId="0" borderId="40" xfId="0" applyFont="1" applyBorder="1" applyAlignment="1">
      <alignment horizontal="center" vertical="center" textRotation="90" wrapText="1"/>
    </xf>
    <xf numFmtId="0" fontId="4" fillId="0" borderId="32" xfId="0" applyFont="1" applyBorder="1" applyAlignment="1">
      <alignment horizontal="center" vertical="center" textRotation="90" wrapText="1"/>
    </xf>
    <xf numFmtId="0" fontId="4" fillId="0" borderId="52" xfId="0" applyFont="1" applyBorder="1" applyAlignment="1">
      <alignment horizontal="center" vertical="center" textRotation="90" wrapText="1"/>
    </xf>
    <xf numFmtId="0" fontId="0" fillId="3" borderId="0" xfId="0" applyFill="1" applyAlignment="1">
      <alignment horizontal="left" wrapText="1"/>
    </xf>
    <xf numFmtId="0" fontId="0" fillId="3" borderId="0" xfId="0" applyFill="1" applyBorder="1" applyAlignment="1">
      <alignment horizontal="left"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0" fillId="0" borderId="9" xfId="0" applyBorder="1" applyAlignment="1">
      <alignment horizontal="left" vertical="center" wrapText="1"/>
    </xf>
    <xf numFmtId="0" fontId="0" fillId="0" borderId="9" xfId="0" applyBorder="1" applyAlignment="1">
      <alignment horizontal="left"/>
    </xf>
    <xf numFmtId="0" fontId="0" fillId="44" borderId="2" xfId="0" applyFill="1" applyBorder="1" applyAlignment="1">
      <alignment horizontal="center"/>
    </xf>
    <xf numFmtId="10" fontId="5" fillId="0" borderId="15" xfId="0" applyNumberFormat="1" applyFont="1" applyBorder="1" applyAlignment="1">
      <alignment horizontal="center" vertical="center" wrapText="1"/>
    </xf>
    <xf numFmtId="10" fontId="5" fillId="0" borderId="10" xfId="0" applyNumberFormat="1" applyFont="1" applyBorder="1" applyAlignment="1">
      <alignment horizontal="center" vertical="center" wrapText="1"/>
    </xf>
    <xf numFmtId="10"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wrapText="1"/>
    </xf>
    <xf numFmtId="10" fontId="5" fillId="0" borderId="15" xfId="0" applyNumberFormat="1" applyFont="1" applyBorder="1" applyAlignment="1">
      <alignment horizontal="center" vertical="center"/>
    </xf>
    <xf numFmtId="0" fontId="5" fillId="0" borderId="10" xfId="0" applyFont="1" applyBorder="1" applyAlignment="1">
      <alignment horizontal="center" vertical="center" wrapText="1"/>
    </xf>
    <xf numFmtId="10" fontId="5" fillId="0" borderId="10" xfId="0" applyNumberFormat="1" applyFont="1" applyBorder="1" applyAlignment="1">
      <alignment horizontal="center" vertical="center"/>
    </xf>
    <xf numFmtId="10" fontId="5" fillId="0" borderId="18" xfId="0" applyNumberFormat="1" applyFont="1" applyBorder="1" applyAlignment="1">
      <alignment horizontal="center" vertical="center"/>
    </xf>
    <xf numFmtId="0" fontId="23" fillId="0" borderId="0" xfId="0" applyFont="1" applyAlignment="1">
      <alignment horizontal="center"/>
    </xf>
    <xf numFmtId="3" fontId="82" fillId="24" borderId="40" xfId="0" applyNumberFormat="1" applyFont="1" applyFill="1" applyBorder="1" applyAlignment="1">
      <alignment horizontal="center" wrapText="1"/>
    </xf>
    <xf numFmtId="3" fontId="82" fillId="24" borderId="41" xfId="0" applyNumberFormat="1" applyFont="1" applyFill="1" applyBorder="1" applyAlignment="1">
      <alignment horizontal="center" wrapText="1"/>
    </xf>
    <xf numFmtId="3" fontId="82" fillId="24" borderId="19" xfId="0" applyNumberFormat="1" applyFont="1" applyFill="1" applyBorder="1" applyAlignment="1">
      <alignment horizontal="center"/>
    </xf>
    <xf numFmtId="3" fontId="82" fillId="24" borderId="20" xfId="0" applyNumberFormat="1" applyFont="1" applyFill="1" applyBorder="1" applyAlignment="1">
      <alignment horizontal="center"/>
    </xf>
    <xf numFmtId="165" fontId="82" fillId="24" borderId="40" xfId="0" applyNumberFormat="1" applyFont="1" applyFill="1" applyBorder="1" applyAlignment="1">
      <alignment horizontal="center"/>
    </xf>
    <xf numFmtId="165" fontId="82" fillId="24" borderId="32" xfId="0" applyNumberFormat="1" applyFont="1" applyFill="1" applyBorder="1" applyAlignment="1">
      <alignment horizontal="center"/>
    </xf>
    <xf numFmtId="3" fontId="83" fillId="24" borderId="40" xfId="0" applyNumberFormat="1" applyFont="1" applyFill="1" applyBorder="1" applyAlignment="1">
      <alignment horizontal="center" wrapText="1"/>
    </xf>
    <xf numFmtId="3" fontId="83" fillId="24" borderId="32" xfId="0" applyNumberFormat="1" applyFont="1" applyFill="1" applyBorder="1" applyAlignment="1">
      <alignment horizontal="center" wrapText="1"/>
    </xf>
    <xf numFmtId="3" fontId="82" fillId="24" borderId="32" xfId="0" applyNumberFormat="1" applyFont="1" applyFill="1" applyBorder="1" applyAlignment="1">
      <alignment horizontal="center" wrapText="1"/>
    </xf>
  </cellXfs>
  <cellStyles count="5617">
    <cellStyle name="Comma" xfId="1" builtinId="3"/>
    <cellStyle name="Comma 2" xfId="2281"/>
    <cellStyle name="Currency" xfId="87"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3"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9"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3" builtinId="9" hidden="1"/>
    <cellStyle name="Followed Hyperlink" xfId="2905" builtinId="9" hidden="1"/>
    <cellStyle name="Followed Hyperlink" xfId="2907" builtinId="9" hidden="1"/>
    <cellStyle name="Followed Hyperlink" xfId="2909" builtinId="9" hidden="1"/>
    <cellStyle name="Followed Hyperlink" xfId="2911" builtinId="9" hidden="1"/>
    <cellStyle name="Followed Hyperlink" xfId="2913" builtinId="9" hidden="1"/>
    <cellStyle name="Followed Hyperlink" xfId="2915" builtinId="9" hidden="1"/>
    <cellStyle name="Followed Hyperlink" xfId="2917" builtinId="9" hidden="1"/>
    <cellStyle name="Followed Hyperlink" xfId="2919" builtinId="9" hidden="1"/>
    <cellStyle name="Followed Hyperlink" xfId="2921" builtinId="9" hidden="1"/>
    <cellStyle name="Followed Hyperlink" xfId="2923" builtinId="9" hidden="1"/>
    <cellStyle name="Followed Hyperlink" xfId="2925" builtinId="9" hidden="1"/>
    <cellStyle name="Followed Hyperlink" xfId="2927" builtinId="9" hidden="1"/>
    <cellStyle name="Followed Hyperlink" xfId="2929" builtinId="9" hidden="1"/>
    <cellStyle name="Followed Hyperlink" xfId="2931" builtinId="9" hidden="1"/>
    <cellStyle name="Followed Hyperlink" xfId="2933" builtinId="9" hidden="1"/>
    <cellStyle name="Followed Hyperlink" xfId="2935" builtinId="9" hidden="1"/>
    <cellStyle name="Followed Hyperlink" xfId="2937" builtinId="9" hidden="1"/>
    <cellStyle name="Followed Hyperlink" xfId="2939" builtinId="9" hidden="1"/>
    <cellStyle name="Followed Hyperlink" xfId="2941" builtinId="9" hidden="1"/>
    <cellStyle name="Followed Hyperlink" xfId="2943" builtinId="9" hidden="1"/>
    <cellStyle name="Followed Hyperlink" xfId="2945" builtinId="9" hidden="1"/>
    <cellStyle name="Followed Hyperlink" xfId="2947"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3"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9"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Followed Hyperlink" xfId="3149" builtinId="9" hidden="1"/>
    <cellStyle name="Followed Hyperlink" xfId="3151" builtinId="9" hidden="1"/>
    <cellStyle name="Followed Hyperlink" xfId="3153" builtinId="9" hidden="1"/>
    <cellStyle name="Followed Hyperlink" xfId="3155" builtinId="9" hidden="1"/>
    <cellStyle name="Followed Hyperlink" xfId="3157" builtinId="9" hidden="1"/>
    <cellStyle name="Followed Hyperlink" xfId="3159" builtinId="9" hidden="1"/>
    <cellStyle name="Followed Hyperlink" xfId="3161" builtinId="9" hidden="1"/>
    <cellStyle name="Followed Hyperlink" xfId="3163" builtinId="9" hidden="1"/>
    <cellStyle name="Followed Hyperlink" xfId="3165" builtinId="9" hidden="1"/>
    <cellStyle name="Followed Hyperlink" xfId="3167" builtinId="9" hidden="1"/>
    <cellStyle name="Followed Hyperlink" xfId="3169" builtinId="9" hidden="1"/>
    <cellStyle name="Followed Hyperlink" xfId="3171" builtinId="9" hidden="1"/>
    <cellStyle name="Followed Hyperlink" xfId="3173" builtinId="9" hidden="1"/>
    <cellStyle name="Followed Hyperlink" xfId="3175" builtinId="9" hidden="1"/>
    <cellStyle name="Followed Hyperlink" xfId="3177" builtinId="9" hidden="1"/>
    <cellStyle name="Followed Hyperlink" xfId="3179" builtinId="9" hidden="1"/>
    <cellStyle name="Followed Hyperlink" xfId="3181" builtinId="9" hidden="1"/>
    <cellStyle name="Followed Hyperlink" xfId="3183" builtinId="9" hidden="1"/>
    <cellStyle name="Followed Hyperlink" xfId="3185"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199" builtinId="9" hidden="1"/>
    <cellStyle name="Followed Hyperlink" xfId="3201" builtinId="9" hidden="1"/>
    <cellStyle name="Followed Hyperlink" xfId="3203" builtinId="9" hidden="1"/>
    <cellStyle name="Followed Hyperlink" xfId="3205" builtinId="9" hidden="1"/>
    <cellStyle name="Followed Hyperlink" xfId="3207" builtinId="9" hidden="1"/>
    <cellStyle name="Followed Hyperlink" xfId="3209" builtinId="9" hidden="1"/>
    <cellStyle name="Followed Hyperlink" xfId="3211" builtinId="9" hidden="1"/>
    <cellStyle name="Followed Hyperlink" xfId="3213" builtinId="9" hidden="1"/>
    <cellStyle name="Followed Hyperlink" xfId="3215" builtinId="9" hidden="1"/>
    <cellStyle name="Followed Hyperlink" xfId="3217" builtinId="9" hidden="1"/>
    <cellStyle name="Followed Hyperlink" xfId="3219" builtinId="9" hidden="1"/>
    <cellStyle name="Followed Hyperlink" xfId="3221" builtinId="9" hidden="1"/>
    <cellStyle name="Followed Hyperlink" xfId="3223" builtinId="9" hidden="1"/>
    <cellStyle name="Followed Hyperlink" xfId="3225" builtinId="9" hidden="1"/>
    <cellStyle name="Followed Hyperlink" xfId="3227" builtinId="9" hidden="1"/>
    <cellStyle name="Followed Hyperlink" xfId="3229" builtinId="9" hidden="1"/>
    <cellStyle name="Followed Hyperlink" xfId="3231" builtinId="9" hidden="1"/>
    <cellStyle name="Followed Hyperlink" xfId="3233" builtinId="9" hidden="1"/>
    <cellStyle name="Followed Hyperlink" xfId="3235" builtinId="9" hidden="1"/>
    <cellStyle name="Followed Hyperlink" xfId="3237" builtinId="9" hidden="1"/>
    <cellStyle name="Followed Hyperlink" xfId="323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1" builtinId="9" hidden="1"/>
    <cellStyle name="Followed Hyperlink" xfId="4343" builtinId="9" hidden="1"/>
    <cellStyle name="Followed Hyperlink" xfId="4345" builtinId="9" hidden="1"/>
    <cellStyle name="Followed Hyperlink" xfId="4347" builtinId="9" hidden="1"/>
    <cellStyle name="Followed Hyperlink" xfId="4349" builtinId="9" hidden="1"/>
    <cellStyle name="Followed Hyperlink" xfId="4351" builtinId="9" hidden="1"/>
    <cellStyle name="Followed Hyperlink" xfId="4353" builtinId="9" hidden="1"/>
    <cellStyle name="Followed Hyperlink" xfId="4355" builtinId="9" hidden="1"/>
    <cellStyle name="Followed Hyperlink" xfId="4357" builtinId="9" hidden="1"/>
    <cellStyle name="Followed Hyperlink" xfId="4359" builtinId="9" hidden="1"/>
    <cellStyle name="Followed Hyperlink" xfId="4361" builtinId="9" hidden="1"/>
    <cellStyle name="Followed Hyperlink" xfId="4363" builtinId="9" hidden="1"/>
    <cellStyle name="Followed Hyperlink" xfId="4365" builtinId="9" hidden="1"/>
    <cellStyle name="Followed Hyperlink" xfId="4367" builtinId="9" hidden="1"/>
    <cellStyle name="Followed Hyperlink" xfId="4369" builtinId="9" hidden="1"/>
    <cellStyle name="Followed Hyperlink" xfId="4371" builtinId="9" hidden="1"/>
    <cellStyle name="Followed Hyperlink" xfId="4373" builtinId="9" hidden="1"/>
    <cellStyle name="Followed Hyperlink" xfId="4375" builtinId="9" hidden="1"/>
    <cellStyle name="Followed Hyperlink" xfId="4377" builtinId="9" hidden="1"/>
    <cellStyle name="Followed Hyperlink" xfId="4379" builtinId="9" hidden="1"/>
    <cellStyle name="Followed Hyperlink" xfId="4381" builtinId="9" hidden="1"/>
    <cellStyle name="Followed Hyperlink" xfId="4383" builtinId="9" hidden="1"/>
    <cellStyle name="Followed Hyperlink" xfId="4385" builtinId="9" hidden="1"/>
    <cellStyle name="Followed Hyperlink" xfId="4387" builtinId="9" hidden="1"/>
    <cellStyle name="Followed Hyperlink" xfId="4389" builtinId="9" hidden="1"/>
    <cellStyle name="Followed Hyperlink" xfId="4391" builtinId="9" hidden="1"/>
    <cellStyle name="Followed Hyperlink" xfId="4393" builtinId="9" hidden="1"/>
    <cellStyle name="Followed Hyperlink" xfId="4395" builtinId="9" hidden="1"/>
    <cellStyle name="Followed Hyperlink" xfId="4397" builtinId="9" hidden="1"/>
    <cellStyle name="Followed Hyperlink" xfId="4399" builtinId="9" hidden="1"/>
    <cellStyle name="Followed Hyperlink" xfId="4401" builtinId="9" hidden="1"/>
    <cellStyle name="Followed Hyperlink" xfId="4403" builtinId="9" hidden="1"/>
    <cellStyle name="Followed Hyperlink" xfId="4405" builtinId="9" hidden="1"/>
    <cellStyle name="Followed Hyperlink" xfId="4407" builtinId="9" hidden="1"/>
    <cellStyle name="Followed Hyperlink" xfId="4409" builtinId="9" hidden="1"/>
    <cellStyle name="Followed Hyperlink" xfId="4411" builtinId="9" hidden="1"/>
    <cellStyle name="Followed Hyperlink" xfId="4413" builtinId="9" hidden="1"/>
    <cellStyle name="Followed Hyperlink" xfId="4415" builtinId="9" hidden="1"/>
    <cellStyle name="Followed Hyperlink" xfId="4417" builtinId="9" hidden="1"/>
    <cellStyle name="Followed Hyperlink" xfId="4419" builtinId="9" hidden="1"/>
    <cellStyle name="Followed Hyperlink" xfId="4421" builtinId="9" hidden="1"/>
    <cellStyle name="Followed Hyperlink" xfId="4423" builtinId="9" hidden="1"/>
    <cellStyle name="Followed Hyperlink" xfId="4425" builtinId="9" hidden="1"/>
    <cellStyle name="Followed Hyperlink" xfId="4427" builtinId="9" hidden="1"/>
    <cellStyle name="Followed Hyperlink" xfId="4429" builtinId="9" hidden="1"/>
    <cellStyle name="Followed Hyperlink" xfId="4431" builtinId="9" hidden="1"/>
    <cellStyle name="Followed Hyperlink" xfId="4433" builtinId="9" hidden="1"/>
    <cellStyle name="Followed Hyperlink" xfId="4435" builtinId="9" hidden="1"/>
    <cellStyle name="Followed Hyperlink" xfId="4437" builtinId="9" hidden="1"/>
    <cellStyle name="Followed Hyperlink" xfId="4439" builtinId="9" hidden="1"/>
    <cellStyle name="Followed Hyperlink" xfId="4441" builtinId="9" hidden="1"/>
    <cellStyle name="Followed Hyperlink" xfId="4443" builtinId="9" hidden="1"/>
    <cellStyle name="Followed Hyperlink" xfId="4445" builtinId="9" hidden="1"/>
    <cellStyle name="Followed Hyperlink" xfId="4447" builtinId="9" hidden="1"/>
    <cellStyle name="Followed Hyperlink" xfId="4449" builtinId="9" hidden="1"/>
    <cellStyle name="Followed Hyperlink" xfId="4451" builtinId="9" hidden="1"/>
    <cellStyle name="Followed Hyperlink" xfId="4453" builtinId="9" hidden="1"/>
    <cellStyle name="Followed Hyperlink" xfId="4455" builtinId="9" hidden="1"/>
    <cellStyle name="Followed Hyperlink" xfId="4457" builtinId="9" hidden="1"/>
    <cellStyle name="Followed Hyperlink" xfId="4459" builtinId="9" hidden="1"/>
    <cellStyle name="Followed Hyperlink" xfId="4461" builtinId="9" hidden="1"/>
    <cellStyle name="Followed Hyperlink" xfId="4463" builtinId="9" hidden="1"/>
    <cellStyle name="Followed Hyperlink" xfId="4465" builtinId="9" hidden="1"/>
    <cellStyle name="Followed Hyperlink" xfId="4467" builtinId="9" hidden="1"/>
    <cellStyle name="Followed Hyperlink" xfId="4469" builtinId="9" hidden="1"/>
    <cellStyle name="Followed Hyperlink" xfId="4471" builtinId="9" hidden="1"/>
    <cellStyle name="Followed Hyperlink" xfId="4473" builtinId="9" hidden="1"/>
    <cellStyle name="Followed Hyperlink" xfId="4475" builtinId="9" hidden="1"/>
    <cellStyle name="Followed Hyperlink" xfId="4477" builtinId="9" hidden="1"/>
    <cellStyle name="Followed Hyperlink" xfId="4479" builtinId="9" hidden="1"/>
    <cellStyle name="Followed Hyperlink" xfId="4481" builtinId="9" hidden="1"/>
    <cellStyle name="Followed Hyperlink" xfId="4483" builtinId="9" hidden="1"/>
    <cellStyle name="Followed Hyperlink" xfId="4485" builtinId="9" hidden="1"/>
    <cellStyle name="Followed Hyperlink" xfId="4487" builtinId="9" hidden="1"/>
    <cellStyle name="Followed Hyperlink" xfId="4489" builtinId="9" hidden="1"/>
    <cellStyle name="Followed Hyperlink" xfId="4491" builtinId="9" hidden="1"/>
    <cellStyle name="Followed Hyperlink" xfId="4493" builtinId="9" hidden="1"/>
    <cellStyle name="Followed Hyperlink" xfId="4495" builtinId="9" hidden="1"/>
    <cellStyle name="Followed Hyperlink" xfId="4497" builtinId="9" hidden="1"/>
    <cellStyle name="Followed Hyperlink" xfId="4499" builtinId="9" hidden="1"/>
    <cellStyle name="Followed Hyperlink" xfId="4501" builtinId="9" hidden="1"/>
    <cellStyle name="Followed Hyperlink" xfId="4503" builtinId="9" hidden="1"/>
    <cellStyle name="Followed Hyperlink" xfId="4505" builtinId="9" hidden="1"/>
    <cellStyle name="Followed Hyperlink" xfId="4507" builtinId="9" hidden="1"/>
    <cellStyle name="Followed Hyperlink" xfId="4509" builtinId="9" hidden="1"/>
    <cellStyle name="Followed Hyperlink" xfId="4511" builtinId="9" hidden="1"/>
    <cellStyle name="Followed Hyperlink" xfId="4513" builtinId="9" hidden="1"/>
    <cellStyle name="Followed Hyperlink" xfId="4515" builtinId="9" hidden="1"/>
    <cellStyle name="Followed Hyperlink" xfId="4517" builtinId="9" hidden="1"/>
    <cellStyle name="Followed Hyperlink" xfId="4519" builtinId="9" hidden="1"/>
    <cellStyle name="Followed Hyperlink" xfId="4521" builtinId="9" hidden="1"/>
    <cellStyle name="Followed Hyperlink" xfId="4523" builtinId="9" hidden="1"/>
    <cellStyle name="Followed Hyperlink" xfId="4525" builtinId="9" hidden="1"/>
    <cellStyle name="Followed Hyperlink" xfId="4527" builtinId="9" hidden="1"/>
    <cellStyle name="Followed Hyperlink" xfId="4529" builtinId="9" hidden="1"/>
    <cellStyle name="Followed Hyperlink" xfId="4531" builtinId="9" hidden="1"/>
    <cellStyle name="Followed Hyperlink" xfId="4533" builtinId="9" hidden="1"/>
    <cellStyle name="Followed Hyperlink" xfId="4535" builtinId="9" hidden="1"/>
    <cellStyle name="Followed Hyperlink" xfId="4537" builtinId="9" hidden="1"/>
    <cellStyle name="Followed Hyperlink" xfId="4539" builtinId="9" hidden="1"/>
    <cellStyle name="Followed Hyperlink" xfId="4541" builtinId="9" hidden="1"/>
    <cellStyle name="Followed Hyperlink" xfId="4543" builtinId="9" hidden="1"/>
    <cellStyle name="Followed Hyperlink" xfId="4545" builtinId="9" hidden="1"/>
    <cellStyle name="Followed Hyperlink" xfId="4547" builtinId="9" hidden="1"/>
    <cellStyle name="Followed Hyperlink" xfId="4549" builtinId="9" hidden="1"/>
    <cellStyle name="Followed Hyperlink" xfId="4551" builtinId="9" hidden="1"/>
    <cellStyle name="Followed Hyperlink" xfId="4553" builtinId="9" hidden="1"/>
    <cellStyle name="Followed Hyperlink" xfId="4555" builtinId="9" hidden="1"/>
    <cellStyle name="Followed Hyperlink" xfId="4557" builtinId="9" hidden="1"/>
    <cellStyle name="Followed Hyperlink" xfId="4559" builtinId="9" hidden="1"/>
    <cellStyle name="Followed Hyperlink" xfId="4561" builtinId="9" hidden="1"/>
    <cellStyle name="Followed Hyperlink" xfId="4563" builtinId="9" hidden="1"/>
    <cellStyle name="Followed Hyperlink" xfId="4565" builtinId="9" hidden="1"/>
    <cellStyle name="Followed Hyperlink" xfId="4567" builtinId="9" hidden="1"/>
    <cellStyle name="Followed Hyperlink" xfId="4569" builtinId="9" hidden="1"/>
    <cellStyle name="Followed Hyperlink" xfId="4571" builtinId="9" hidden="1"/>
    <cellStyle name="Followed Hyperlink" xfId="4573" builtinId="9" hidden="1"/>
    <cellStyle name="Followed Hyperlink" xfId="4575" builtinId="9" hidden="1"/>
    <cellStyle name="Followed Hyperlink" xfId="4577" builtinId="9" hidden="1"/>
    <cellStyle name="Followed Hyperlink" xfId="4579" builtinId="9" hidden="1"/>
    <cellStyle name="Followed Hyperlink" xfId="4581" builtinId="9" hidden="1"/>
    <cellStyle name="Followed Hyperlink" xfId="4583" builtinId="9" hidden="1"/>
    <cellStyle name="Followed Hyperlink" xfId="4585" builtinId="9" hidden="1"/>
    <cellStyle name="Followed Hyperlink" xfId="4587" builtinId="9" hidden="1"/>
    <cellStyle name="Followed Hyperlink" xfId="4589" builtinId="9" hidden="1"/>
    <cellStyle name="Followed Hyperlink" xfId="4591" builtinId="9" hidden="1"/>
    <cellStyle name="Followed Hyperlink" xfId="4593" builtinId="9" hidden="1"/>
    <cellStyle name="Followed Hyperlink" xfId="4595" builtinId="9" hidden="1"/>
    <cellStyle name="Followed Hyperlink" xfId="4597" builtinId="9" hidden="1"/>
    <cellStyle name="Followed Hyperlink" xfId="4599" builtinId="9" hidden="1"/>
    <cellStyle name="Followed Hyperlink" xfId="4601" builtinId="9" hidden="1"/>
    <cellStyle name="Followed Hyperlink" xfId="4603" builtinId="9" hidden="1"/>
    <cellStyle name="Followed Hyperlink" xfId="4605" builtinId="9" hidden="1"/>
    <cellStyle name="Followed Hyperlink" xfId="4607" builtinId="9" hidden="1"/>
    <cellStyle name="Followed Hyperlink" xfId="4609" builtinId="9" hidden="1"/>
    <cellStyle name="Followed Hyperlink" xfId="4611" builtinId="9" hidden="1"/>
    <cellStyle name="Followed Hyperlink" xfId="4613" builtinId="9" hidden="1"/>
    <cellStyle name="Followed Hyperlink" xfId="4615" builtinId="9" hidden="1"/>
    <cellStyle name="Followed Hyperlink" xfId="4617" builtinId="9" hidden="1"/>
    <cellStyle name="Followed Hyperlink" xfId="4619" builtinId="9" hidden="1"/>
    <cellStyle name="Followed Hyperlink" xfId="4621" builtinId="9" hidden="1"/>
    <cellStyle name="Followed Hyperlink" xfId="4623" builtinId="9" hidden="1"/>
    <cellStyle name="Followed Hyperlink" xfId="4625" builtinId="9" hidden="1"/>
    <cellStyle name="Followed Hyperlink" xfId="4627" builtinId="9" hidden="1"/>
    <cellStyle name="Followed Hyperlink" xfId="4629" builtinId="9" hidden="1"/>
    <cellStyle name="Followed Hyperlink" xfId="4631" builtinId="9" hidden="1"/>
    <cellStyle name="Followed Hyperlink" xfId="4633" builtinId="9" hidden="1"/>
    <cellStyle name="Followed Hyperlink" xfId="4635" builtinId="9" hidden="1"/>
    <cellStyle name="Followed Hyperlink" xfId="4637" builtinId="9" hidden="1"/>
    <cellStyle name="Followed Hyperlink" xfId="4639" builtinId="9" hidden="1"/>
    <cellStyle name="Followed Hyperlink" xfId="4641" builtinId="9" hidden="1"/>
    <cellStyle name="Followed Hyperlink" xfId="4643" builtinId="9" hidden="1"/>
    <cellStyle name="Followed Hyperlink" xfId="4645" builtinId="9" hidden="1"/>
    <cellStyle name="Followed Hyperlink" xfId="4647" builtinId="9" hidden="1"/>
    <cellStyle name="Followed Hyperlink" xfId="4649" builtinId="9" hidden="1"/>
    <cellStyle name="Followed Hyperlink" xfId="4651" builtinId="9" hidden="1"/>
    <cellStyle name="Followed Hyperlink" xfId="4653" builtinId="9" hidden="1"/>
    <cellStyle name="Followed Hyperlink" xfId="4655" builtinId="9" hidden="1"/>
    <cellStyle name="Followed Hyperlink" xfId="4657" builtinId="9" hidden="1"/>
    <cellStyle name="Followed Hyperlink" xfId="4659" builtinId="9" hidden="1"/>
    <cellStyle name="Followed Hyperlink" xfId="4661" builtinId="9" hidden="1"/>
    <cellStyle name="Followed Hyperlink" xfId="4663" builtinId="9" hidden="1"/>
    <cellStyle name="Followed Hyperlink" xfId="4665" builtinId="9" hidden="1"/>
    <cellStyle name="Followed Hyperlink" xfId="4667" builtinId="9" hidden="1"/>
    <cellStyle name="Followed Hyperlink" xfId="4669" builtinId="9" hidden="1"/>
    <cellStyle name="Followed Hyperlink" xfId="4671" builtinId="9" hidden="1"/>
    <cellStyle name="Followed Hyperlink" xfId="4673" builtinId="9" hidden="1"/>
    <cellStyle name="Followed Hyperlink" xfId="4675" builtinId="9" hidden="1"/>
    <cellStyle name="Followed Hyperlink" xfId="4677" builtinId="9" hidden="1"/>
    <cellStyle name="Followed Hyperlink" xfId="4679" builtinId="9" hidden="1"/>
    <cellStyle name="Followed Hyperlink" xfId="4681" builtinId="9" hidden="1"/>
    <cellStyle name="Followed Hyperlink" xfId="4683" builtinId="9" hidden="1"/>
    <cellStyle name="Followed Hyperlink" xfId="4685" builtinId="9" hidden="1"/>
    <cellStyle name="Followed Hyperlink" xfId="4687" builtinId="9" hidden="1"/>
    <cellStyle name="Followed Hyperlink" xfId="4689" builtinId="9" hidden="1"/>
    <cellStyle name="Followed Hyperlink" xfId="4691" builtinId="9" hidden="1"/>
    <cellStyle name="Followed Hyperlink" xfId="4693" builtinId="9" hidden="1"/>
    <cellStyle name="Followed Hyperlink" xfId="4695" builtinId="9" hidden="1"/>
    <cellStyle name="Followed Hyperlink" xfId="4697" builtinId="9" hidden="1"/>
    <cellStyle name="Followed Hyperlink" xfId="4699" builtinId="9" hidden="1"/>
    <cellStyle name="Followed Hyperlink" xfId="4701" builtinId="9" hidden="1"/>
    <cellStyle name="Followed Hyperlink" xfId="4703" builtinId="9" hidden="1"/>
    <cellStyle name="Followed Hyperlink" xfId="4705" builtinId="9" hidden="1"/>
    <cellStyle name="Followed Hyperlink" xfId="4707" builtinId="9" hidden="1"/>
    <cellStyle name="Followed Hyperlink" xfId="4709" builtinId="9" hidden="1"/>
    <cellStyle name="Followed Hyperlink" xfId="4711" builtinId="9" hidden="1"/>
    <cellStyle name="Followed Hyperlink" xfId="4713" builtinId="9" hidden="1"/>
    <cellStyle name="Followed Hyperlink" xfId="4715" builtinId="9" hidden="1"/>
    <cellStyle name="Followed Hyperlink" xfId="4717" builtinId="9" hidden="1"/>
    <cellStyle name="Followed Hyperlink" xfId="4719" builtinId="9" hidden="1"/>
    <cellStyle name="Followed Hyperlink" xfId="4721" builtinId="9" hidden="1"/>
    <cellStyle name="Followed Hyperlink" xfId="4723" builtinId="9" hidden="1"/>
    <cellStyle name="Followed Hyperlink" xfId="4725" builtinId="9" hidden="1"/>
    <cellStyle name="Followed Hyperlink" xfId="4727" builtinId="9" hidden="1"/>
    <cellStyle name="Followed Hyperlink" xfId="4729" builtinId="9" hidden="1"/>
    <cellStyle name="Followed Hyperlink" xfId="4731" builtinId="9" hidden="1"/>
    <cellStyle name="Followed Hyperlink" xfId="4733" builtinId="9" hidden="1"/>
    <cellStyle name="Followed Hyperlink" xfId="4735" builtinId="9" hidden="1"/>
    <cellStyle name="Followed Hyperlink" xfId="4737" builtinId="9" hidden="1"/>
    <cellStyle name="Followed Hyperlink" xfId="4739" builtinId="9" hidden="1"/>
    <cellStyle name="Followed Hyperlink" xfId="4741" builtinId="9" hidden="1"/>
    <cellStyle name="Followed Hyperlink" xfId="4743" builtinId="9" hidden="1"/>
    <cellStyle name="Followed Hyperlink" xfId="4745" builtinId="9" hidden="1"/>
    <cellStyle name="Followed Hyperlink" xfId="4747" builtinId="9" hidden="1"/>
    <cellStyle name="Followed Hyperlink" xfId="4749" builtinId="9" hidden="1"/>
    <cellStyle name="Followed Hyperlink" xfId="4751" builtinId="9" hidden="1"/>
    <cellStyle name="Followed Hyperlink" xfId="4753" builtinId="9" hidden="1"/>
    <cellStyle name="Followed Hyperlink" xfId="4755" builtinId="9" hidden="1"/>
    <cellStyle name="Followed Hyperlink" xfId="4757" builtinId="9" hidden="1"/>
    <cellStyle name="Followed Hyperlink" xfId="4759" builtinId="9" hidden="1"/>
    <cellStyle name="Followed Hyperlink" xfId="4761" builtinId="9" hidden="1"/>
    <cellStyle name="Followed Hyperlink" xfId="4763" builtinId="9" hidden="1"/>
    <cellStyle name="Followed Hyperlink" xfId="4765" builtinId="9" hidden="1"/>
    <cellStyle name="Followed Hyperlink" xfId="4767" builtinId="9" hidden="1"/>
    <cellStyle name="Followed Hyperlink" xfId="4769" builtinId="9" hidden="1"/>
    <cellStyle name="Followed Hyperlink" xfId="4771" builtinId="9" hidden="1"/>
    <cellStyle name="Followed Hyperlink" xfId="4773" builtinId="9" hidden="1"/>
    <cellStyle name="Followed Hyperlink" xfId="4775" builtinId="9" hidden="1"/>
    <cellStyle name="Followed Hyperlink" xfId="4777" builtinId="9" hidden="1"/>
    <cellStyle name="Followed Hyperlink" xfId="4779" builtinId="9" hidden="1"/>
    <cellStyle name="Followed Hyperlink" xfId="4781" builtinId="9" hidden="1"/>
    <cellStyle name="Followed Hyperlink" xfId="4783" builtinId="9" hidden="1"/>
    <cellStyle name="Followed Hyperlink" xfId="4785" builtinId="9" hidden="1"/>
    <cellStyle name="Followed Hyperlink" xfId="4787" builtinId="9" hidden="1"/>
    <cellStyle name="Followed Hyperlink" xfId="4789" builtinId="9" hidden="1"/>
    <cellStyle name="Followed Hyperlink" xfId="4791" builtinId="9" hidden="1"/>
    <cellStyle name="Followed Hyperlink" xfId="4793" builtinId="9" hidden="1"/>
    <cellStyle name="Followed Hyperlink" xfId="4795" builtinId="9" hidden="1"/>
    <cellStyle name="Followed Hyperlink" xfId="4797" builtinId="9" hidden="1"/>
    <cellStyle name="Followed Hyperlink" xfId="4799" builtinId="9" hidden="1"/>
    <cellStyle name="Followed Hyperlink" xfId="4801" builtinId="9" hidden="1"/>
    <cellStyle name="Followed Hyperlink" xfId="4803" builtinId="9" hidden="1"/>
    <cellStyle name="Followed Hyperlink" xfId="4805" builtinId="9" hidden="1"/>
    <cellStyle name="Followed Hyperlink" xfId="4807" builtinId="9" hidden="1"/>
    <cellStyle name="Followed Hyperlink" xfId="4809" builtinId="9" hidden="1"/>
    <cellStyle name="Followed Hyperlink" xfId="4811" builtinId="9" hidden="1"/>
    <cellStyle name="Followed Hyperlink" xfId="4813" builtinId="9" hidden="1"/>
    <cellStyle name="Followed Hyperlink" xfId="4815" builtinId="9" hidden="1"/>
    <cellStyle name="Followed Hyperlink" xfId="4817" builtinId="9" hidden="1"/>
    <cellStyle name="Followed Hyperlink" xfId="4819" builtinId="9" hidden="1"/>
    <cellStyle name="Followed Hyperlink" xfId="4821" builtinId="9" hidden="1"/>
    <cellStyle name="Followed Hyperlink" xfId="4823" builtinId="9" hidden="1"/>
    <cellStyle name="Followed Hyperlink" xfId="4825" builtinId="9" hidden="1"/>
    <cellStyle name="Followed Hyperlink" xfId="4827" builtinId="9" hidden="1"/>
    <cellStyle name="Followed Hyperlink" xfId="4829" builtinId="9" hidden="1"/>
    <cellStyle name="Followed Hyperlink" xfId="4831" builtinId="9" hidden="1"/>
    <cellStyle name="Followed Hyperlink" xfId="4833" builtinId="9" hidden="1"/>
    <cellStyle name="Followed Hyperlink" xfId="4835" builtinId="9" hidden="1"/>
    <cellStyle name="Followed Hyperlink" xfId="4837" builtinId="9" hidden="1"/>
    <cellStyle name="Followed Hyperlink" xfId="4839" builtinId="9" hidden="1"/>
    <cellStyle name="Followed Hyperlink" xfId="4841" builtinId="9" hidden="1"/>
    <cellStyle name="Followed Hyperlink" xfId="4843" builtinId="9" hidden="1"/>
    <cellStyle name="Followed Hyperlink" xfId="4845" builtinId="9" hidden="1"/>
    <cellStyle name="Followed Hyperlink" xfId="4847" builtinId="9" hidden="1"/>
    <cellStyle name="Followed Hyperlink" xfId="4849" builtinId="9" hidden="1"/>
    <cellStyle name="Followed Hyperlink" xfId="4851" builtinId="9" hidden="1"/>
    <cellStyle name="Followed Hyperlink" xfId="4853" builtinId="9" hidden="1"/>
    <cellStyle name="Followed Hyperlink" xfId="4855" builtinId="9" hidden="1"/>
    <cellStyle name="Followed Hyperlink" xfId="4857" builtinId="9" hidden="1"/>
    <cellStyle name="Followed Hyperlink" xfId="4859" builtinId="9" hidden="1"/>
    <cellStyle name="Followed Hyperlink" xfId="4861" builtinId="9" hidden="1"/>
    <cellStyle name="Followed Hyperlink" xfId="4863" builtinId="9" hidden="1"/>
    <cellStyle name="Followed Hyperlink" xfId="4865" builtinId="9" hidden="1"/>
    <cellStyle name="Followed Hyperlink" xfId="4867" builtinId="9" hidden="1"/>
    <cellStyle name="Followed Hyperlink" xfId="4869" builtinId="9" hidden="1"/>
    <cellStyle name="Followed Hyperlink" xfId="4871" builtinId="9" hidden="1"/>
    <cellStyle name="Followed Hyperlink" xfId="4873" builtinId="9" hidden="1"/>
    <cellStyle name="Followed Hyperlink" xfId="4875" builtinId="9" hidden="1"/>
    <cellStyle name="Followed Hyperlink" xfId="4877" builtinId="9" hidden="1"/>
    <cellStyle name="Followed Hyperlink" xfId="4879" builtinId="9" hidden="1"/>
    <cellStyle name="Followed Hyperlink" xfId="4881" builtinId="9" hidden="1"/>
    <cellStyle name="Followed Hyperlink" xfId="4883" builtinId="9" hidden="1"/>
    <cellStyle name="Followed Hyperlink" xfId="4885" builtinId="9" hidden="1"/>
    <cellStyle name="Followed Hyperlink" xfId="4887" builtinId="9" hidden="1"/>
    <cellStyle name="Followed Hyperlink" xfId="4889" builtinId="9" hidden="1"/>
    <cellStyle name="Followed Hyperlink" xfId="4891" builtinId="9" hidden="1"/>
    <cellStyle name="Followed Hyperlink" xfId="4893" builtinId="9" hidden="1"/>
    <cellStyle name="Followed Hyperlink" xfId="4895" builtinId="9" hidden="1"/>
    <cellStyle name="Followed Hyperlink" xfId="4897" builtinId="9" hidden="1"/>
    <cellStyle name="Followed Hyperlink" xfId="4899" builtinId="9" hidden="1"/>
    <cellStyle name="Followed Hyperlink" xfId="4901" builtinId="9" hidden="1"/>
    <cellStyle name="Followed Hyperlink" xfId="4903" builtinId="9" hidden="1"/>
    <cellStyle name="Followed Hyperlink" xfId="4905" builtinId="9" hidden="1"/>
    <cellStyle name="Followed Hyperlink" xfId="4907" builtinId="9" hidden="1"/>
    <cellStyle name="Followed Hyperlink" xfId="4909" builtinId="9" hidden="1"/>
    <cellStyle name="Followed Hyperlink" xfId="4911" builtinId="9" hidden="1"/>
    <cellStyle name="Followed Hyperlink" xfId="4913" builtinId="9" hidden="1"/>
    <cellStyle name="Followed Hyperlink" xfId="4915" builtinId="9" hidden="1"/>
    <cellStyle name="Followed Hyperlink" xfId="4917" builtinId="9" hidden="1"/>
    <cellStyle name="Followed Hyperlink" xfId="4919" builtinId="9" hidden="1"/>
    <cellStyle name="Followed Hyperlink" xfId="4921" builtinId="9" hidden="1"/>
    <cellStyle name="Followed Hyperlink" xfId="4923" builtinId="9" hidden="1"/>
    <cellStyle name="Followed Hyperlink" xfId="4925" builtinId="9" hidden="1"/>
    <cellStyle name="Followed Hyperlink" xfId="4927" builtinId="9" hidden="1"/>
    <cellStyle name="Followed Hyperlink" xfId="4929" builtinId="9" hidden="1"/>
    <cellStyle name="Followed Hyperlink" xfId="4931" builtinId="9" hidden="1"/>
    <cellStyle name="Followed Hyperlink" xfId="4933" builtinId="9" hidden="1"/>
    <cellStyle name="Followed Hyperlink" xfId="4935" builtinId="9" hidden="1"/>
    <cellStyle name="Followed Hyperlink" xfId="4937" builtinId="9" hidden="1"/>
    <cellStyle name="Followed Hyperlink" xfId="4939" builtinId="9" hidden="1"/>
    <cellStyle name="Followed Hyperlink" xfId="4941" builtinId="9" hidden="1"/>
    <cellStyle name="Followed Hyperlink" xfId="4943" builtinId="9" hidden="1"/>
    <cellStyle name="Followed Hyperlink" xfId="4945" builtinId="9" hidden="1"/>
    <cellStyle name="Followed Hyperlink" xfId="4947" builtinId="9" hidden="1"/>
    <cellStyle name="Followed Hyperlink" xfId="4949" builtinId="9" hidden="1"/>
    <cellStyle name="Followed Hyperlink" xfId="4951" builtinId="9" hidden="1"/>
    <cellStyle name="Followed Hyperlink" xfId="4953" builtinId="9" hidden="1"/>
    <cellStyle name="Followed Hyperlink" xfId="4955" builtinId="9" hidden="1"/>
    <cellStyle name="Followed Hyperlink" xfId="4957" builtinId="9" hidden="1"/>
    <cellStyle name="Followed Hyperlink" xfId="4959" builtinId="9" hidden="1"/>
    <cellStyle name="Followed Hyperlink" xfId="4961" builtinId="9" hidden="1"/>
    <cellStyle name="Followed Hyperlink" xfId="4963" builtinId="9" hidden="1"/>
    <cellStyle name="Followed Hyperlink" xfId="4965" builtinId="9" hidden="1"/>
    <cellStyle name="Followed Hyperlink" xfId="4967" builtinId="9" hidden="1"/>
    <cellStyle name="Followed Hyperlink" xfId="4969" builtinId="9" hidden="1"/>
    <cellStyle name="Followed Hyperlink" xfId="4971" builtinId="9" hidden="1"/>
    <cellStyle name="Followed Hyperlink" xfId="4973" builtinId="9" hidden="1"/>
    <cellStyle name="Followed Hyperlink" xfId="4975" builtinId="9" hidden="1"/>
    <cellStyle name="Followed Hyperlink" xfId="4977" builtinId="9" hidden="1"/>
    <cellStyle name="Followed Hyperlink" xfId="4979" builtinId="9" hidden="1"/>
    <cellStyle name="Followed Hyperlink" xfId="4981" builtinId="9" hidden="1"/>
    <cellStyle name="Followed Hyperlink" xfId="4983" builtinId="9" hidden="1"/>
    <cellStyle name="Followed Hyperlink" xfId="4985" builtinId="9" hidden="1"/>
    <cellStyle name="Followed Hyperlink" xfId="4987" builtinId="9" hidden="1"/>
    <cellStyle name="Followed Hyperlink" xfId="4989" builtinId="9" hidden="1"/>
    <cellStyle name="Followed Hyperlink" xfId="4991" builtinId="9" hidden="1"/>
    <cellStyle name="Followed Hyperlink" xfId="4993" builtinId="9" hidden="1"/>
    <cellStyle name="Followed Hyperlink" xfId="4995" builtinId="9" hidden="1"/>
    <cellStyle name="Followed Hyperlink" xfId="4997" builtinId="9" hidden="1"/>
    <cellStyle name="Followed Hyperlink" xfId="4999" builtinId="9" hidden="1"/>
    <cellStyle name="Followed Hyperlink" xfId="5001" builtinId="9" hidden="1"/>
    <cellStyle name="Followed Hyperlink" xfId="5003" builtinId="9" hidden="1"/>
    <cellStyle name="Followed Hyperlink" xfId="5005" builtinId="9" hidden="1"/>
    <cellStyle name="Followed Hyperlink" xfId="5007" builtinId="9" hidden="1"/>
    <cellStyle name="Followed Hyperlink" xfId="5009" builtinId="9" hidden="1"/>
    <cellStyle name="Followed Hyperlink" xfId="5011" builtinId="9" hidden="1"/>
    <cellStyle name="Followed Hyperlink" xfId="5013" builtinId="9" hidden="1"/>
    <cellStyle name="Followed Hyperlink" xfId="5015" builtinId="9" hidden="1"/>
    <cellStyle name="Followed Hyperlink" xfId="5017" builtinId="9" hidden="1"/>
    <cellStyle name="Followed Hyperlink" xfId="5019" builtinId="9" hidden="1"/>
    <cellStyle name="Followed Hyperlink" xfId="5021" builtinId="9" hidden="1"/>
    <cellStyle name="Followed Hyperlink" xfId="5023" builtinId="9" hidden="1"/>
    <cellStyle name="Followed Hyperlink" xfId="5025" builtinId="9" hidden="1"/>
    <cellStyle name="Followed Hyperlink" xfId="5027" builtinId="9" hidden="1"/>
    <cellStyle name="Followed Hyperlink" xfId="5029" builtinId="9" hidden="1"/>
    <cellStyle name="Followed Hyperlink" xfId="5031" builtinId="9" hidden="1"/>
    <cellStyle name="Followed Hyperlink" xfId="5033" builtinId="9" hidden="1"/>
    <cellStyle name="Followed Hyperlink" xfId="5035" builtinId="9" hidden="1"/>
    <cellStyle name="Followed Hyperlink" xfId="5037" builtinId="9" hidden="1"/>
    <cellStyle name="Followed Hyperlink" xfId="5039" builtinId="9" hidden="1"/>
    <cellStyle name="Followed Hyperlink" xfId="5041" builtinId="9" hidden="1"/>
    <cellStyle name="Followed Hyperlink" xfId="5043" builtinId="9" hidden="1"/>
    <cellStyle name="Followed Hyperlink" xfId="5045" builtinId="9" hidden="1"/>
    <cellStyle name="Followed Hyperlink" xfId="5047" builtinId="9" hidden="1"/>
    <cellStyle name="Followed Hyperlink" xfId="5049" builtinId="9" hidden="1"/>
    <cellStyle name="Followed Hyperlink" xfId="5051" builtinId="9" hidden="1"/>
    <cellStyle name="Followed Hyperlink" xfId="5053" builtinId="9" hidden="1"/>
    <cellStyle name="Followed Hyperlink" xfId="5055" builtinId="9" hidden="1"/>
    <cellStyle name="Followed Hyperlink" xfId="5057" builtinId="9" hidden="1"/>
    <cellStyle name="Followed Hyperlink" xfId="5059" builtinId="9" hidden="1"/>
    <cellStyle name="Followed Hyperlink" xfId="5061" builtinId="9" hidden="1"/>
    <cellStyle name="Followed Hyperlink" xfId="5063" builtinId="9" hidden="1"/>
    <cellStyle name="Followed Hyperlink" xfId="5065" builtinId="9" hidden="1"/>
    <cellStyle name="Followed Hyperlink" xfId="5067" builtinId="9" hidden="1"/>
    <cellStyle name="Followed Hyperlink" xfId="5069" builtinId="9" hidden="1"/>
    <cellStyle name="Followed Hyperlink" xfId="5071" builtinId="9" hidden="1"/>
    <cellStyle name="Followed Hyperlink" xfId="5073" builtinId="9" hidden="1"/>
    <cellStyle name="Followed Hyperlink" xfId="5075" builtinId="9" hidden="1"/>
    <cellStyle name="Followed Hyperlink" xfId="5077" builtinId="9" hidden="1"/>
    <cellStyle name="Followed Hyperlink" xfId="5079" builtinId="9" hidden="1"/>
    <cellStyle name="Followed Hyperlink" xfId="5081" builtinId="9" hidden="1"/>
    <cellStyle name="Followed Hyperlink" xfId="5083" builtinId="9" hidden="1"/>
    <cellStyle name="Followed Hyperlink" xfId="5085" builtinId="9" hidden="1"/>
    <cellStyle name="Followed Hyperlink" xfId="5087" builtinId="9" hidden="1"/>
    <cellStyle name="Followed Hyperlink" xfId="5089" builtinId="9" hidden="1"/>
    <cellStyle name="Followed Hyperlink" xfId="5091" builtinId="9" hidden="1"/>
    <cellStyle name="Followed Hyperlink" xfId="5093" builtinId="9" hidden="1"/>
    <cellStyle name="Followed Hyperlink" xfId="5095" builtinId="9" hidden="1"/>
    <cellStyle name="Followed Hyperlink" xfId="5097" builtinId="9" hidden="1"/>
    <cellStyle name="Followed Hyperlink" xfId="5099" builtinId="9" hidden="1"/>
    <cellStyle name="Followed Hyperlink" xfId="5101" builtinId="9" hidden="1"/>
    <cellStyle name="Followed Hyperlink" xfId="5103" builtinId="9" hidden="1"/>
    <cellStyle name="Followed Hyperlink" xfId="5105" builtinId="9" hidden="1"/>
    <cellStyle name="Followed Hyperlink" xfId="5107" builtinId="9" hidden="1"/>
    <cellStyle name="Followed Hyperlink" xfId="5109" builtinId="9" hidden="1"/>
    <cellStyle name="Followed Hyperlink" xfId="5111" builtinId="9" hidden="1"/>
    <cellStyle name="Followed Hyperlink" xfId="5113" builtinId="9" hidden="1"/>
    <cellStyle name="Followed Hyperlink" xfId="5115" builtinId="9" hidden="1"/>
    <cellStyle name="Followed Hyperlink" xfId="5117" builtinId="9" hidden="1"/>
    <cellStyle name="Followed Hyperlink" xfId="5119" builtinId="9" hidden="1"/>
    <cellStyle name="Followed Hyperlink" xfId="5121" builtinId="9" hidden="1"/>
    <cellStyle name="Followed Hyperlink" xfId="5123" builtinId="9" hidden="1"/>
    <cellStyle name="Followed Hyperlink" xfId="5125" builtinId="9" hidden="1"/>
    <cellStyle name="Followed Hyperlink" xfId="5127" builtinId="9" hidden="1"/>
    <cellStyle name="Followed Hyperlink" xfId="5129" builtinId="9" hidden="1"/>
    <cellStyle name="Followed Hyperlink" xfId="5131" builtinId="9" hidden="1"/>
    <cellStyle name="Followed Hyperlink" xfId="5133" builtinId="9" hidden="1"/>
    <cellStyle name="Followed Hyperlink" xfId="5135" builtinId="9" hidden="1"/>
    <cellStyle name="Followed Hyperlink" xfId="5137" builtinId="9" hidden="1"/>
    <cellStyle name="Followed Hyperlink" xfId="5139" builtinId="9" hidden="1"/>
    <cellStyle name="Followed Hyperlink" xfId="5141" builtinId="9" hidden="1"/>
    <cellStyle name="Followed Hyperlink" xfId="5143" builtinId="9" hidden="1"/>
    <cellStyle name="Followed Hyperlink" xfId="5145" builtinId="9" hidden="1"/>
    <cellStyle name="Followed Hyperlink" xfId="5147" builtinId="9" hidden="1"/>
    <cellStyle name="Followed Hyperlink" xfId="5149" builtinId="9" hidden="1"/>
    <cellStyle name="Followed Hyperlink" xfId="5151" builtinId="9" hidden="1"/>
    <cellStyle name="Followed Hyperlink" xfId="5153" builtinId="9" hidden="1"/>
    <cellStyle name="Followed Hyperlink" xfId="5155" builtinId="9" hidden="1"/>
    <cellStyle name="Followed Hyperlink" xfId="5157" builtinId="9" hidden="1"/>
    <cellStyle name="Followed Hyperlink" xfId="5159" builtinId="9" hidden="1"/>
    <cellStyle name="Followed Hyperlink" xfId="5161" builtinId="9" hidden="1"/>
    <cellStyle name="Followed Hyperlink" xfId="5163" builtinId="9" hidden="1"/>
    <cellStyle name="Followed Hyperlink" xfId="5165" builtinId="9" hidden="1"/>
    <cellStyle name="Followed Hyperlink" xfId="5167" builtinId="9" hidden="1"/>
    <cellStyle name="Followed Hyperlink" xfId="5169" builtinId="9" hidden="1"/>
    <cellStyle name="Followed Hyperlink" xfId="5171" builtinId="9" hidden="1"/>
    <cellStyle name="Followed Hyperlink" xfId="5173" builtinId="9" hidden="1"/>
    <cellStyle name="Followed Hyperlink" xfId="5175" builtinId="9" hidden="1"/>
    <cellStyle name="Followed Hyperlink" xfId="5177" builtinId="9" hidden="1"/>
    <cellStyle name="Followed Hyperlink" xfId="5179" builtinId="9" hidden="1"/>
    <cellStyle name="Followed Hyperlink" xfId="5181" builtinId="9" hidden="1"/>
    <cellStyle name="Followed Hyperlink" xfId="5183" builtinId="9" hidden="1"/>
    <cellStyle name="Followed Hyperlink" xfId="5185" builtinId="9" hidden="1"/>
    <cellStyle name="Followed Hyperlink" xfId="5187" builtinId="9" hidden="1"/>
    <cellStyle name="Followed Hyperlink" xfId="5189" builtinId="9" hidden="1"/>
    <cellStyle name="Followed Hyperlink" xfId="5191" builtinId="9" hidden="1"/>
    <cellStyle name="Followed Hyperlink" xfId="5193" builtinId="9" hidden="1"/>
    <cellStyle name="Followed Hyperlink" xfId="5195" builtinId="9" hidden="1"/>
    <cellStyle name="Followed Hyperlink" xfId="5197" builtinId="9" hidden="1"/>
    <cellStyle name="Followed Hyperlink" xfId="5199" builtinId="9" hidden="1"/>
    <cellStyle name="Followed Hyperlink" xfId="5201" builtinId="9" hidden="1"/>
    <cellStyle name="Followed Hyperlink" xfId="5203" builtinId="9" hidden="1"/>
    <cellStyle name="Followed Hyperlink" xfId="5205" builtinId="9" hidden="1"/>
    <cellStyle name="Followed Hyperlink" xfId="5207" builtinId="9" hidden="1"/>
    <cellStyle name="Followed Hyperlink" xfId="5209" builtinId="9" hidden="1"/>
    <cellStyle name="Followed Hyperlink" xfId="5211" builtinId="9" hidden="1"/>
    <cellStyle name="Followed Hyperlink" xfId="5213" builtinId="9" hidden="1"/>
    <cellStyle name="Followed Hyperlink" xfId="5215" builtinId="9" hidden="1"/>
    <cellStyle name="Followed Hyperlink" xfId="5217" builtinId="9" hidden="1"/>
    <cellStyle name="Followed Hyperlink" xfId="5219" builtinId="9" hidden="1"/>
    <cellStyle name="Followed Hyperlink" xfId="5221" builtinId="9" hidden="1"/>
    <cellStyle name="Followed Hyperlink" xfId="5223" builtinId="9" hidden="1"/>
    <cellStyle name="Followed Hyperlink" xfId="5225" builtinId="9" hidden="1"/>
    <cellStyle name="Followed Hyperlink" xfId="5227" builtinId="9" hidden="1"/>
    <cellStyle name="Followed Hyperlink" xfId="5229" builtinId="9" hidden="1"/>
    <cellStyle name="Followed Hyperlink" xfId="5231" builtinId="9" hidden="1"/>
    <cellStyle name="Followed Hyperlink" xfId="5233" builtinId="9" hidden="1"/>
    <cellStyle name="Followed Hyperlink" xfId="5235" builtinId="9" hidden="1"/>
    <cellStyle name="Followed Hyperlink" xfId="5237" builtinId="9" hidden="1"/>
    <cellStyle name="Followed Hyperlink" xfId="5239" builtinId="9" hidden="1"/>
    <cellStyle name="Followed Hyperlink" xfId="5241" builtinId="9" hidden="1"/>
    <cellStyle name="Followed Hyperlink" xfId="5243" builtinId="9" hidden="1"/>
    <cellStyle name="Followed Hyperlink" xfId="5245" builtinId="9" hidden="1"/>
    <cellStyle name="Followed Hyperlink" xfId="5247" builtinId="9" hidden="1"/>
    <cellStyle name="Followed Hyperlink" xfId="5249" builtinId="9" hidden="1"/>
    <cellStyle name="Followed Hyperlink" xfId="5251" builtinId="9" hidden="1"/>
    <cellStyle name="Followed Hyperlink" xfId="5253" builtinId="9" hidden="1"/>
    <cellStyle name="Followed Hyperlink" xfId="5255" builtinId="9" hidden="1"/>
    <cellStyle name="Followed Hyperlink" xfId="5257" builtinId="9" hidden="1"/>
    <cellStyle name="Followed Hyperlink" xfId="5259" builtinId="9" hidden="1"/>
    <cellStyle name="Followed Hyperlink" xfId="5261" builtinId="9" hidden="1"/>
    <cellStyle name="Followed Hyperlink" xfId="5263" builtinId="9" hidden="1"/>
    <cellStyle name="Followed Hyperlink" xfId="5265" builtinId="9" hidden="1"/>
    <cellStyle name="Followed Hyperlink" xfId="5267" builtinId="9" hidden="1"/>
    <cellStyle name="Followed Hyperlink" xfId="5269" builtinId="9" hidden="1"/>
    <cellStyle name="Followed Hyperlink" xfId="5271" builtinId="9" hidden="1"/>
    <cellStyle name="Followed Hyperlink" xfId="5273" builtinId="9" hidden="1"/>
    <cellStyle name="Followed Hyperlink" xfId="5275" builtinId="9" hidden="1"/>
    <cellStyle name="Followed Hyperlink" xfId="5277" builtinId="9" hidden="1"/>
    <cellStyle name="Followed Hyperlink" xfId="5279" builtinId="9" hidden="1"/>
    <cellStyle name="Followed Hyperlink" xfId="5281" builtinId="9" hidden="1"/>
    <cellStyle name="Followed Hyperlink" xfId="5283" builtinId="9" hidden="1"/>
    <cellStyle name="Followed Hyperlink" xfId="5285" builtinId="9" hidden="1"/>
    <cellStyle name="Followed Hyperlink" xfId="5287" builtinId="9" hidden="1"/>
    <cellStyle name="Followed Hyperlink" xfId="5289" builtinId="9" hidden="1"/>
    <cellStyle name="Followed Hyperlink" xfId="5291" builtinId="9" hidden="1"/>
    <cellStyle name="Followed Hyperlink" xfId="5293" builtinId="9" hidden="1"/>
    <cellStyle name="Followed Hyperlink" xfId="5295" builtinId="9" hidden="1"/>
    <cellStyle name="Followed Hyperlink" xfId="5297" builtinId="9" hidden="1"/>
    <cellStyle name="Followed Hyperlink" xfId="5299" builtinId="9" hidden="1"/>
    <cellStyle name="Followed Hyperlink" xfId="5301" builtinId="9" hidden="1"/>
    <cellStyle name="Followed Hyperlink" xfId="5303" builtinId="9" hidden="1"/>
    <cellStyle name="Followed Hyperlink" xfId="5305" builtinId="9" hidden="1"/>
    <cellStyle name="Followed Hyperlink" xfId="5307" builtinId="9" hidden="1"/>
    <cellStyle name="Followed Hyperlink" xfId="5309" builtinId="9" hidden="1"/>
    <cellStyle name="Followed Hyperlink" xfId="5311" builtinId="9" hidden="1"/>
    <cellStyle name="Followed Hyperlink" xfId="5313" builtinId="9" hidden="1"/>
    <cellStyle name="Followed Hyperlink" xfId="5315" builtinId="9" hidden="1"/>
    <cellStyle name="Followed Hyperlink" xfId="5317" builtinId="9" hidden="1"/>
    <cellStyle name="Followed Hyperlink" xfId="5319" builtinId="9" hidden="1"/>
    <cellStyle name="Followed Hyperlink" xfId="5321" builtinId="9" hidden="1"/>
    <cellStyle name="Followed Hyperlink" xfId="5323" builtinId="9" hidden="1"/>
    <cellStyle name="Followed Hyperlink" xfId="5325" builtinId="9" hidden="1"/>
    <cellStyle name="Followed Hyperlink" xfId="5327" builtinId="9" hidden="1"/>
    <cellStyle name="Followed Hyperlink" xfId="5329" builtinId="9" hidden="1"/>
    <cellStyle name="Followed Hyperlink" xfId="5331" builtinId="9" hidden="1"/>
    <cellStyle name="Followed Hyperlink" xfId="5333" builtinId="9" hidden="1"/>
    <cellStyle name="Followed Hyperlink" xfId="5335" builtinId="9" hidden="1"/>
    <cellStyle name="Followed Hyperlink" xfId="5337" builtinId="9" hidden="1"/>
    <cellStyle name="Followed Hyperlink" xfId="5339" builtinId="9" hidden="1"/>
    <cellStyle name="Followed Hyperlink" xfId="5341" builtinId="9" hidden="1"/>
    <cellStyle name="Followed Hyperlink" xfId="5343" builtinId="9" hidden="1"/>
    <cellStyle name="Followed Hyperlink" xfId="5345" builtinId="9" hidden="1"/>
    <cellStyle name="Followed Hyperlink" xfId="5347" builtinId="9" hidden="1"/>
    <cellStyle name="Followed Hyperlink" xfId="5349" builtinId="9" hidden="1"/>
    <cellStyle name="Followed Hyperlink" xfId="5351"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3"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7"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3"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9"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3" builtinId="9" hidden="1"/>
    <cellStyle name="Followed Hyperlink" xfId="5495" builtinId="9" hidden="1"/>
    <cellStyle name="Followed Hyperlink" xfId="5497" builtinId="9" hidden="1"/>
    <cellStyle name="Followed Hyperlink" xfId="5499" builtinId="9" hidden="1"/>
    <cellStyle name="Followed Hyperlink" xfId="5501" builtinId="9" hidden="1"/>
    <cellStyle name="Followed Hyperlink" xfId="5503" builtinId="9" hidden="1"/>
    <cellStyle name="Followed Hyperlink" xfId="5505" builtinId="9" hidden="1"/>
    <cellStyle name="Followed Hyperlink" xfId="5507" builtinId="9" hidden="1"/>
    <cellStyle name="Followed Hyperlink" xfId="5509" builtinId="9" hidden="1"/>
    <cellStyle name="Followed Hyperlink" xfId="5511" builtinId="9" hidden="1"/>
    <cellStyle name="Followed Hyperlink" xfId="5513" builtinId="9" hidden="1"/>
    <cellStyle name="Followed Hyperlink" xfId="5515" builtinId="9" hidden="1"/>
    <cellStyle name="Followed Hyperlink" xfId="5517" builtinId="9" hidden="1"/>
    <cellStyle name="Followed Hyperlink" xfId="5519" builtinId="9" hidden="1"/>
    <cellStyle name="Followed Hyperlink" xfId="5521" builtinId="9" hidden="1"/>
    <cellStyle name="Followed Hyperlink" xfId="5523" builtinId="9" hidden="1"/>
    <cellStyle name="Followed Hyperlink" xfId="5525" builtinId="9" hidden="1"/>
    <cellStyle name="Followed Hyperlink" xfId="5527" builtinId="9" hidden="1"/>
    <cellStyle name="Followed Hyperlink" xfId="5529" builtinId="9" hidden="1"/>
    <cellStyle name="Followed Hyperlink" xfId="5531" builtinId="9" hidden="1"/>
    <cellStyle name="Followed Hyperlink" xfId="5533" builtinId="9" hidden="1"/>
    <cellStyle name="Followed Hyperlink" xfId="5535" builtinId="9" hidden="1"/>
    <cellStyle name="Followed Hyperlink" xfId="5537" builtinId="9" hidden="1"/>
    <cellStyle name="Followed Hyperlink" xfId="5539" builtinId="9" hidden="1"/>
    <cellStyle name="Followed Hyperlink" xfId="5541" builtinId="9" hidden="1"/>
    <cellStyle name="Followed Hyperlink" xfId="5543" builtinId="9" hidden="1"/>
    <cellStyle name="Followed Hyperlink" xfId="5545" builtinId="9" hidden="1"/>
    <cellStyle name="Followed Hyperlink" xfId="5547" builtinId="9" hidden="1"/>
    <cellStyle name="Followed Hyperlink" xfId="5549" builtinId="9" hidden="1"/>
    <cellStyle name="Followed Hyperlink" xfId="5551" builtinId="9" hidden="1"/>
    <cellStyle name="Followed Hyperlink" xfId="5553" builtinId="9" hidden="1"/>
    <cellStyle name="Followed Hyperlink" xfId="5555" builtinId="9" hidden="1"/>
    <cellStyle name="Followed Hyperlink" xfId="5557" builtinId="9" hidden="1"/>
    <cellStyle name="Followed Hyperlink" xfId="5559" builtinId="9" hidden="1"/>
    <cellStyle name="Followed Hyperlink" xfId="5561" builtinId="9" hidden="1"/>
    <cellStyle name="Followed Hyperlink" xfId="5563" builtinId="9" hidden="1"/>
    <cellStyle name="Followed Hyperlink" xfId="5565" builtinId="9" hidden="1"/>
    <cellStyle name="Followed Hyperlink" xfId="5567" builtinId="9" hidden="1"/>
    <cellStyle name="Followed Hyperlink" xfId="5569" builtinId="9" hidden="1"/>
    <cellStyle name="Followed Hyperlink" xfId="5571" builtinId="9" hidden="1"/>
    <cellStyle name="Followed Hyperlink" xfId="5573" builtinId="9" hidden="1"/>
    <cellStyle name="Followed Hyperlink" xfId="5575" builtinId="9" hidden="1"/>
    <cellStyle name="Followed Hyperlink" xfId="5577" builtinId="9" hidden="1"/>
    <cellStyle name="Followed Hyperlink" xfId="5579" builtinId="9" hidden="1"/>
    <cellStyle name="Followed Hyperlink" xfId="5581" builtinId="9" hidden="1"/>
    <cellStyle name="Followed Hyperlink" xfId="5583" builtinId="9" hidden="1"/>
    <cellStyle name="Followed Hyperlink" xfId="5585" builtinId="9" hidden="1"/>
    <cellStyle name="Followed Hyperlink" xfId="5587" builtinId="9" hidden="1"/>
    <cellStyle name="Followed Hyperlink" xfId="5589" builtinId="9" hidden="1"/>
    <cellStyle name="Followed Hyperlink" xfId="5591" builtinId="9" hidden="1"/>
    <cellStyle name="Followed Hyperlink" xfId="5593" builtinId="9" hidden="1"/>
    <cellStyle name="Followed Hyperlink" xfId="5595" builtinId="9" hidden="1"/>
    <cellStyle name="Followed Hyperlink" xfId="5597" builtinId="9" hidden="1"/>
    <cellStyle name="Followed Hyperlink" xfId="5599" builtinId="9" hidden="1"/>
    <cellStyle name="Followed Hyperlink" xfId="5601" builtinId="9" hidden="1"/>
    <cellStyle name="Followed Hyperlink" xfId="5603" builtinId="9" hidden="1"/>
    <cellStyle name="Followed Hyperlink" xfId="5605" builtinId="9" hidden="1"/>
    <cellStyle name="Followed Hyperlink" xfId="5607" builtinId="9" hidden="1"/>
    <cellStyle name="Followed Hyperlink" xfId="5609" builtinId="9" hidden="1"/>
    <cellStyle name="Followed Hyperlink" xfId="5611" builtinId="9" hidden="1"/>
    <cellStyle name="Followed Hyperlink" xfId="5613" builtinId="9" hidden="1"/>
    <cellStyle name="Followed Hyperlink" xfId="5615"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692" builtinId="8" hidden="1"/>
    <cellStyle name="Hyperlink" xfId="2694" builtinId="8" hidden="1"/>
    <cellStyle name="Hyperlink" xfId="2696" builtinId="8" hidden="1"/>
    <cellStyle name="Hyperlink" xfId="2698"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hidden="1"/>
    <cellStyle name="Hyperlink" xfId="2810" builtinId="8" hidden="1"/>
    <cellStyle name="Hyperlink" xfId="2812" builtinId="8" hidden="1"/>
    <cellStyle name="Hyperlink" xfId="2814" builtinId="8" hidden="1"/>
    <cellStyle name="Hyperlink" xfId="2816" builtinId="8" hidden="1"/>
    <cellStyle name="Hyperlink" xfId="2818" builtinId="8" hidden="1"/>
    <cellStyle name="Hyperlink" xfId="2820" builtinId="8" hidden="1"/>
    <cellStyle name="Hyperlink" xfId="2822" builtinId="8" hidden="1"/>
    <cellStyle name="Hyperlink" xfId="2824" builtinId="8" hidden="1"/>
    <cellStyle name="Hyperlink" xfId="2826" builtinId="8" hidden="1"/>
    <cellStyle name="Hyperlink" xfId="2828" builtinId="8" hidden="1"/>
    <cellStyle name="Hyperlink" xfId="2830" builtinId="8" hidden="1"/>
    <cellStyle name="Hyperlink" xfId="2832" builtinId="8" hidden="1"/>
    <cellStyle name="Hyperlink" xfId="2834" builtinId="8" hidden="1"/>
    <cellStyle name="Hyperlink" xfId="2836" builtinId="8" hidden="1"/>
    <cellStyle name="Hyperlink" xfId="2838" builtinId="8" hidden="1"/>
    <cellStyle name="Hyperlink" xfId="2840" builtinId="8" hidden="1"/>
    <cellStyle name="Hyperlink" xfId="2842" builtinId="8" hidden="1"/>
    <cellStyle name="Hyperlink" xfId="2844" builtinId="8" hidden="1"/>
    <cellStyle name="Hyperlink" xfId="2846" builtinId="8" hidden="1"/>
    <cellStyle name="Hyperlink" xfId="2848" builtinId="8" hidden="1"/>
    <cellStyle name="Hyperlink" xfId="2850" builtinId="8" hidden="1"/>
    <cellStyle name="Hyperlink" xfId="2852" builtinId="8" hidden="1"/>
    <cellStyle name="Hyperlink" xfId="2854" builtinId="8" hidden="1"/>
    <cellStyle name="Hyperlink" xfId="2856" builtinId="8" hidden="1"/>
    <cellStyle name="Hyperlink" xfId="2858" builtinId="8" hidden="1"/>
    <cellStyle name="Hyperlink" xfId="2860" builtinId="8" hidden="1"/>
    <cellStyle name="Hyperlink" xfId="2862" builtinId="8" hidden="1"/>
    <cellStyle name="Hyperlink" xfId="2864" builtinId="8" hidden="1"/>
    <cellStyle name="Hyperlink" xfId="2866" builtinId="8" hidden="1"/>
    <cellStyle name="Hyperlink" xfId="2868" builtinId="8" hidden="1"/>
    <cellStyle name="Hyperlink" xfId="2870" builtinId="8" hidden="1"/>
    <cellStyle name="Hyperlink" xfId="2872" builtinId="8" hidden="1"/>
    <cellStyle name="Hyperlink" xfId="2874" builtinId="8" hidden="1"/>
    <cellStyle name="Hyperlink" xfId="2876" builtinId="8" hidden="1"/>
    <cellStyle name="Hyperlink" xfId="2878" builtinId="8" hidden="1"/>
    <cellStyle name="Hyperlink" xfId="2880" builtinId="8" hidden="1"/>
    <cellStyle name="Hyperlink" xfId="2882" builtinId="8" hidden="1"/>
    <cellStyle name="Hyperlink" xfId="2884" builtinId="8" hidden="1"/>
    <cellStyle name="Hyperlink" xfId="2886" builtinId="8" hidden="1"/>
    <cellStyle name="Hyperlink" xfId="2888" builtinId="8" hidden="1"/>
    <cellStyle name="Hyperlink" xfId="2890" builtinId="8" hidden="1"/>
    <cellStyle name="Hyperlink" xfId="2892" builtinId="8" hidden="1"/>
    <cellStyle name="Hyperlink" xfId="2894" builtinId="8" hidden="1"/>
    <cellStyle name="Hyperlink" xfId="2896" builtinId="8" hidden="1"/>
    <cellStyle name="Hyperlink" xfId="2898" builtinId="8" hidden="1"/>
    <cellStyle name="Hyperlink" xfId="2900" builtinId="8" hidden="1"/>
    <cellStyle name="Hyperlink" xfId="2902" builtinId="8" hidden="1"/>
    <cellStyle name="Hyperlink" xfId="2904" builtinId="8" hidden="1"/>
    <cellStyle name="Hyperlink" xfId="2906" builtinId="8" hidden="1"/>
    <cellStyle name="Hyperlink" xfId="2908" builtinId="8" hidden="1"/>
    <cellStyle name="Hyperlink" xfId="2910" builtinId="8" hidden="1"/>
    <cellStyle name="Hyperlink" xfId="2912" builtinId="8" hidden="1"/>
    <cellStyle name="Hyperlink" xfId="2914" builtinId="8" hidden="1"/>
    <cellStyle name="Hyperlink" xfId="2916" builtinId="8" hidden="1"/>
    <cellStyle name="Hyperlink" xfId="2918" builtinId="8" hidden="1"/>
    <cellStyle name="Hyperlink" xfId="2920" builtinId="8" hidden="1"/>
    <cellStyle name="Hyperlink" xfId="2922" builtinId="8" hidden="1"/>
    <cellStyle name="Hyperlink" xfId="2924" builtinId="8" hidden="1"/>
    <cellStyle name="Hyperlink" xfId="2926" builtinId="8" hidden="1"/>
    <cellStyle name="Hyperlink" xfId="2928" builtinId="8" hidden="1"/>
    <cellStyle name="Hyperlink" xfId="2930" builtinId="8" hidden="1"/>
    <cellStyle name="Hyperlink" xfId="2932" builtinId="8" hidden="1"/>
    <cellStyle name="Hyperlink" xfId="2934" builtinId="8" hidden="1"/>
    <cellStyle name="Hyperlink" xfId="2936" builtinId="8" hidden="1"/>
    <cellStyle name="Hyperlink" xfId="2938" builtinId="8" hidden="1"/>
    <cellStyle name="Hyperlink" xfId="2940" builtinId="8" hidden="1"/>
    <cellStyle name="Hyperlink" xfId="2942" builtinId="8" hidden="1"/>
    <cellStyle name="Hyperlink" xfId="2944" builtinId="8" hidden="1"/>
    <cellStyle name="Hyperlink" xfId="2946" builtinId="8" hidden="1"/>
    <cellStyle name="Hyperlink" xfId="2948" builtinId="8" hidden="1"/>
    <cellStyle name="Hyperlink" xfId="2950" builtinId="8" hidden="1"/>
    <cellStyle name="Hyperlink" xfId="2952" builtinId="8" hidden="1"/>
    <cellStyle name="Hyperlink" xfId="2954" builtinId="8" hidden="1"/>
    <cellStyle name="Hyperlink" xfId="2956" builtinId="8" hidden="1"/>
    <cellStyle name="Hyperlink" xfId="2958" builtinId="8" hidden="1"/>
    <cellStyle name="Hyperlink" xfId="2960" builtinId="8" hidden="1"/>
    <cellStyle name="Hyperlink" xfId="2962" builtinId="8" hidden="1"/>
    <cellStyle name="Hyperlink" xfId="2964" builtinId="8" hidden="1"/>
    <cellStyle name="Hyperlink" xfId="2966" builtinId="8" hidden="1"/>
    <cellStyle name="Hyperlink" xfId="2968" builtinId="8" hidden="1"/>
    <cellStyle name="Hyperlink" xfId="2970" builtinId="8" hidden="1"/>
    <cellStyle name="Hyperlink" xfId="2972" builtinId="8" hidden="1"/>
    <cellStyle name="Hyperlink" xfId="2974" builtinId="8" hidden="1"/>
    <cellStyle name="Hyperlink" xfId="2976" builtinId="8" hidden="1"/>
    <cellStyle name="Hyperlink" xfId="2978" builtinId="8" hidden="1"/>
    <cellStyle name="Hyperlink" xfId="2980" builtinId="8" hidden="1"/>
    <cellStyle name="Hyperlink" xfId="2982" builtinId="8" hidden="1"/>
    <cellStyle name="Hyperlink" xfId="2984" builtinId="8" hidden="1"/>
    <cellStyle name="Hyperlink" xfId="2986" builtinId="8" hidden="1"/>
    <cellStyle name="Hyperlink" xfId="2988" builtinId="8" hidden="1"/>
    <cellStyle name="Hyperlink" xfId="2990" builtinId="8" hidden="1"/>
    <cellStyle name="Hyperlink" xfId="2992" builtinId="8" hidden="1"/>
    <cellStyle name="Hyperlink" xfId="2994" builtinId="8" hidden="1"/>
    <cellStyle name="Hyperlink" xfId="2996" builtinId="8" hidden="1"/>
    <cellStyle name="Hyperlink" xfId="2998" builtinId="8" hidden="1"/>
    <cellStyle name="Hyperlink" xfId="3000" builtinId="8" hidden="1"/>
    <cellStyle name="Hyperlink" xfId="3002" builtinId="8" hidden="1"/>
    <cellStyle name="Hyperlink" xfId="3004" builtinId="8" hidden="1"/>
    <cellStyle name="Hyperlink" xfId="3006" builtinId="8" hidden="1"/>
    <cellStyle name="Hyperlink" xfId="3008" builtinId="8" hidden="1"/>
    <cellStyle name="Hyperlink" xfId="3010" builtinId="8" hidden="1"/>
    <cellStyle name="Hyperlink" xfId="3012" builtinId="8" hidden="1"/>
    <cellStyle name="Hyperlink" xfId="3014" builtinId="8" hidden="1"/>
    <cellStyle name="Hyperlink" xfId="3016" builtinId="8" hidden="1"/>
    <cellStyle name="Hyperlink" xfId="3018" builtinId="8" hidden="1"/>
    <cellStyle name="Hyperlink" xfId="3020" builtinId="8" hidden="1"/>
    <cellStyle name="Hyperlink" xfId="3022" builtinId="8" hidden="1"/>
    <cellStyle name="Hyperlink" xfId="3024" builtinId="8" hidden="1"/>
    <cellStyle name="Hyperlink" xfId="3026" builtinId="8" hidden="1"/>
    <cellStyle name="Hyperlink" xfId="3028" builtinId="8" hidden="1"/>
    <cellStyle name="Hyperlink" xfId="3030" builtinId="8" hidden="1"/>
    <cellStyle name="Hyperlink" xfId="3032" builtinId="8" hidden="1"/>
    <cellStyle name="Hyperlink" xfId="3034" builtinId="8" hidden="1"/>
    <cellStyle name="Hyperlink" xfId="3036" builtinId="8" hidden="1"/>
    <cellStyle name="Hyperlink" xfId="3038" builtinId="8" hidden="1"/>
    <cellStyle name="Hyperlink" xfId="3040" builtinId="8" hidden="1"/>
    <cellStyle name="Hyperlink" xfId="3042" builtinId="8" hidden="1"/>
    <cellStyle name="Hyperlink" xfId="3044"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Hyperlink" xfId="3148" builtinId="8" hidden="1"/>
    <cellStyle name="Hyperlink" xfId="3150" builtinId="8" hidden="1"/>
    <cellStyle name="Hyperlink" xfId="3152" builtinId="8" hidden="1"/>
    <cellStyle name="Hyperlink" xfId="3154" builtinId="8" hidden="1"/>
    <cellStyle name="Hyperlink" xfId="3156" builtinId="8" hidden="1"/>
    <cellStyle name="Hyperlink" xfId="3158" builtinId="8" hidden="1"/>
    <cellStyle name="Hyperlink" xfId="3160" builtinId="8" hidden="1"/>
    <cellStyle name="Hyperlink" xfId="3162" builtinId="8" hidden="1"/>
    <cellStyle name="Hyperlink" xfId="3164" builtinId="8" hidden="1"/>
    <cellStyle name="Hyperlink" xfId="3166" builtinId="8" hidden="1"/>
    <cellStyle name="Hyperlink" xfId="3168" builtinId="8" hidden="1"/>
    <cellStyle name="Hyperlink" xfId="3170" builtinId="8" hidden="1"/>
    <cellStyle name="Hyperlink" xfId="3172" builtinId="8" hidden="1"/>
    <cellStyle name="Hyperlink" xfId="3174" builtinId="8" hidden="1"/>
    <cellStyle name="Hyperlink" xfId="3176" builtinId="8" hidden="1"/>
    <cellStyle name="Hyperlink" xfId="3178" builtinId="8" hidden="1"/>
    <cellStyle name="Hyperlink" xfId="3180" builtinId="8" hidden="1"/>
    <cellStyle name="Hyperlink" xfId="3182" builtinId="8" hidden="1"/>
    <cellStyle name="Hyperlink" xfId="3184"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198" builtinId="8" hidden="1"/>
    <cellStyle name="Hyperlink" xfId="3200" builtinId="8" hidden="1"/>
    <cellStyle name="Hyperlink" xfId="3202" builtinId="8" hidden="1"/>
    <cellStyle name="Hyperlink" xfId="3204" builtinId="8" hidden="1"/>
    <cellStyle name="Hyperlink" xfId="3206" builtinId="8" hidden="1"/>
    <cellStyle name="Hyperlink" xfId="3208" builtinId="8" hidden="1"/>
    <cellStyle name="Hyperlink" xfId="3210" builtinId="8" hidden="1"/>
    <cellStyle name="Hyperlink" xfId="3212" builtinId="8" hidden="1"/>
    <cellStyle name="Hyperlink" xfId="3214" builtinId="8" hidden="1"/>
    <cellStyle name="Hyperlink" xfId="3216" builtinId="8" hidden="1"/>
    <cellStyle name="Hyperlink" xfId="3218" builtinId="8" hidden="1"/>
    <cellStyle name="Hyperlink" xfId="3220" builtinId="8" hidden="1"/>
    <cellStyle name="Hyperlink" xfId="3222" builtinId="8" hidden="1"/>
    <cellStyle name="Hyperlink" xfId="3224" builtinId="8" hidden="1"/>
    <cellStyle name="Hyperlink" xfId="3226" builtinId="8" hidden="1"/>
    <cellStyle name="Hyperlink" xfId="3228" builtinId="8" hidden="1"/>
    <cellStyle name="Hyperlink" xfId="3230" builtinId="8" hidden="1"/>
    <cellStyle name="Hyperlink" xfId="3232" builtinId="8" hidden="1"/>
    <cellStyle name="Hyperlink" xfId="3234" builtinId="8" hidden="1"/>
    <cellStyle name="Hyperlink" xfId="3236" builtinId="8" hidden="1"/>
    <cellStyle name="Hyperlink" xfId="3238" builtinId="8" hidden="1"/>
    <cellStyle name="Hyperlink" xfId="3240"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252" builtinId="8" hidden="1"/>
    <cellStyle name="Hyperlink" xfId="3254" builtinId="8" hidden="1"/>
    <cellStyle name="Hyperlink" xfId="3256" builtinId="8" hidden="1"/>
    <cellStyle name="Hyperlink" xfId="3258" builtinId="8" hidden="1"/>
    <cellStyle name="Hyperlink" xfId="3260" builtinId="8" hidden="1"/>
    <cellStyle name="Hyperlink" xfId="3262" builtinId="8" hidden="1"/>
    <cellStyle name="Hyperlink" xfId="3264" builtinId="8" hidden="1"/>
    <cellStyle name="Hyperlink" xfId="3266" builtinId="8" hidden="1"/>
    <cellStyle name="Hyperlink" xfId="3268" builtinId="8" hidden="1"/>
    <cellStyle name="Hyperlink" xfId="3270" builtinId="8" hidden="1"/>
    <cellStyle name="Hyperlink" xfId="3272" builtinId="8" hidden="1"/>
    <cellStyle name="Hyperlink" xfId="3274"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644" builtinId="8" hidden="1"/>
    <cellStyle name="Hyperlink" xfId="3646" builtinId="8" hidden="1"/>
    <cellStyle name="Hyperlink" xfId="3648" builtinId="8" hidden="1"/>
    <cellStyle name="Hyperlink" xfId="3650" builtinId="8" hidden="1"/>
    <cellStyle name="Hyperlink" xfId="3652" builtinId="8" hidden="1"/>
    <cellStyle name="Hyperlink" xfId="3654" builtinId="8" hidden="1"/>
    <cellStyle name="Hyperlink" xfId="3656" builtinId="8" hidden="1"/>
    <cellStyle name="Hyperlink" xfId="3658" builtinId="8" hidden="1"/>
    <cellStyle name="Hyperlink" xfId="3660" builtinId="8" hidden="1"/>
    <cellStyle name="Hyperlink" xfId="3662" builtinId="8" hidden="1"/>
    <cellStyle name="Hyperlink" xfId="3664" builtinId="8" hidden="1"/>
    <cellStyle name="Hyperlink" xfId="3666" builtinId="8" hidden="1"/>
    <cellStyle name="Hyperlink" xfId="3668" builtinId="8" hidden="1"/>
    <cellStyle name="Hyperlink" xfId="3670" builtinId="8" hidden="1"/>
    <cellStyle name="Hyperlink" xfId="3672" builtinId="8" hidden="1"/>
    <cellStyle name="Hyperlink" xfId="3674" builtinId="8" hidden="1"/>
    <cellStyle name="Hyperlink" xfId="3676" builtinId="8" hidden="1"/>
    <cellStyle name="Hyperlink" xfId="3678" builtinId="8" hidden="1"/>
    <cellStyle name="Hyperlink" xfId="3680"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4" builtinId="8" hidden="1"/>
    <cellStyle name="Hyperlink" xfId="3846"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3960" builtinId="8" hidden="1"/>
    <cellStyle name="Hyperlink" xfId="3962" builtinId="8" hidden="1"/>
    <cellStyle name="Hyperlink" xfId="3964" builtinId="8" hidden="1"/>
    <cellStyle name="Hyperlink" xfId="3966" builtinId="8" hidden="1"/>
    <cellStyle name="Hyperlink" xfId="3968" builtinId="8" hidden="1"/>
    <cellStyle name="Hyperlink" xfId="3970" builtinId="8" hidden="1"/>
    <cellStyle name="Hyperlink" xfId="3972" builtinId="8" hidden="1"/>
    <cellStyle name="Hyperlink" xfId="3974" builtinId="8" hidden="1"/>
    <cellStyle name="Hyperlink" xfId="3976" builtinId="8" hidden="1"/>
    <cellStyle name="Hyperlink" xfId="3978" builtinId="8" hidden="1"/>
    <cellStyle name="Hyperlink" xfId="3980" builtinId="8" hidden="1"/>
    <cellStyle name="Hyperlink" xfId="3982" builtinId="8" hidden="1"/>
    <cellStyle name="Hyperlink" xfId="3984" builtinId="8" hidden="1"/>
    <cellStyle name="Hyperlink" xfId="3986" builtinId="8" hidden="1"/>
    <cellStyle name="Hyperlink" xfId="3988" builtinId="8" hidden="1"/>
    <cellStyle name="Hyperlink" xfId="3990" builtinId="8" hidden="1"/>
    <cellStyle name="Hyperlink" xfId="3992" builtinId="8" hidden="1"/>
    <cellStyle name="Hyperlink" xfId="3994" builtinId="8" hidden="1"/>
    <cellStyle name="Hyperlink" xfId="3996" builtinId="8" hidden="1"/>
    <cellStyle name="Hyperlink" xfId="3998" builtinId="8" hidden="1"/>
    <cellStyle name="Hyperlink" xfId="4000" builtinId="8" hidden="1"/>
    <cellStyle name="Hyperlink" xfId="4002" builtinId="8" hidden="1"/>
    <cellStyle name="Hyperlink" xfId="4004" builtinId="8" hidden="1"/>
    <cellStyle name="Hyperlink" xfId="4006" builtinId="8" hidden="1"/>
    <cellStyle name="Hyperlink" xfId="4008" builtinId="8" hidden="1"/>
    <cellStyle name="Hyperlink" xfId="4010" builtinId="8" hidden="1"/>
    <cellStyle name="Hyperlink" xfId="4012" builtinId="8" hidden="1"/>
    <cellStyle name="Hyperlink" xfId="4014" builtinId="8" hidden="1"/>
    <cellStyle name="Hyperlink" xfId="4016" builtinId="8" hidden="1"/>
    <cellStyle name="Hyperlink" xfId="4018" builtinId="8" hidden="1"/>
    <cellStyle name="Hyperlink" xfId="4020" builtinId="8" hidden="1"/>
    <cellStyle name="Hyperlink" xfId="4022" builtinId="8" hidden="1"/>
    <cellStyle name="Hyperlink" xfId="4024" builtinId="8" hidden="1"/>
    <cellStyle name="Hyperlink" xfId="4026" builtinId="8" hidden="1"/>
    <cellStyle name="Hyperlink" xfId="4028" builtinId="8" hidden="1"/>
    <cellStyle name="Hyperlink" xfId="4030" builtinId="8" hidden="1"/>
    <cellStyle name="Hyperlink" xfId="4032" builtinId="8" hidden="1"/>
    <cellStyle name="Hyperlink" xfId="4034" builtinId="8" hidden="1"/>
    <cellStyle name="Hyperlink" xfId="4036" builtinId="8" hidden="1"/>
    <cellStyle name="Hyperlink" xfId="4038" builtinId="8" hidden="1"/>
    <cellStyle name="Hyperlink" xfId="4040" builtinId="8" hidden="1"/>
    <cellStyle name="Hyperlink" xfId="4042" builtinId="8" hidden="1"/>
    <cellStyle name="Hyperlink" xfId="4044" builtinId="8" hidden="1"/>
    <cellStyle name="Hyperlink" xfId="4046" builtinId="8" hidden="1"/>
    <cellStyle name="Hyperlink" xfId="4048" builtinId="8" hidden="1"/>
    <cellStyle name="Hyperlink" xfId="4050" builtinId="8" hidden="1"/>
    <cellStyle name="Hyperlink" xfId="4052" builtinId="8" hidden="1"/>
    <cellStyle name="Hyperlink" xfId="4054" builtinId="8" hidden="1"/>
    <cellStyle name="Hyperlink" xfId="4056" builtinId="8" hidden="1"/>
    <cellStyle name="Hyperlink" xfId="4058" builtinId="8" hidden="1"/>
    <cellStyle name="Hyperlink" xfId="4060" builtinId="8" hidden="1"/>
    <cellStyle name="Hyperlink" xfId="4062" builtinId="8" hidden="1"/>
    <cellStyle name="Hyperlink" xfId="4064" builtinId="8" hidden="1"/>
    <cellStyle name="Hyperlink" xfId="4066" builtinId="8" hidden="1"/>
    <cellStyle name="Hyperlink" xfId="4068" builtinId="8" hidden="1"/>
    <cellStyle name="Hyperlink" xfId="4070" builtinId="8" hidden="1"/>
    <cellStyle name="Hyperlink" xfId="4072" builtinId="8" hidden="1"/>
    <cellStyle name="Hyperlink" xfId="4074" builtinId="8" hidden="1"/>
    <cellStyle name="Hyperlink" xfId="4076" builtinId="8" hidden="1"/>
    <cellStyle name="Hyperlink" xfId="4078" builtinId="8" hidden="1"/>
    <cellStyle name="Hyperlink" xfId="4080" builtinId="8" hidden="1"/>
    <cellStyle name="Hyperlink" xfId="4082" builtinId="8" hidden="1"/>
    <cellStyle name="Hyperlink" xfId="4084" builtinId="8" hidden="1"/>
    <cellStyle name="Hyperlink" xfId="4086" builtinId="8" hidden="1"/>
    <cellStyle name="Hyperlink" xfId="4088" builtinId="8" hidden="1"/>
    <cellStyle name="Hyperlink" xfId="4090" builtinId="8" hidden="1"/>
    <cellStyle name="Hyperlink" xfId="4092" builtinId="8" hidden="1"/>
    <cellStyle name="Hyperlink" xfId="4094" builtinId="8" hidden="1"/>
    <cellStyle name="Hyperlink" xfId="4096" builtinId="8" hidden="1"/>
    <cellStyle name="Hyperlink" xfId="4098" builtinId="8" hidden="1"/>
    <cellStyle name="Hyperlink" xfId="4100" builtinId="8" hidden="1"/>
    <cellStyle name="Hyperlink" xfId="4102" builtinId="8" hidden="1"/>
    <cellStyle name="Hyperlink" xfId="4104" builtinId="8" hidden="1"/>
    <cellStyle name="Hyperlink" xfId="4106" builtinId="8" hidden="1"/>
    <cellStyle name="Hyperlink" xfId="4108" builtinId="8" hidden="1"/>
    <cellStyle name="Hyperlink" xfId="4110" builtinId="8" hidden="1"/>
    <cellStyle name="Hyperlink" xfId="4112" builtinId="8" hidden="1"/>
    <cellStyle name="Hyperlink" xfId="4114" builtinId="8" hidden="1"/>
    <cellStyle name="Hyperlink" xfId="4116" builtinId="8" hidden="1"/>
    <cellStyle name="Hyperlink" xfId="4118" builtinId="8" hidden="1"/>
    <cellStyle name="Hyperlink" xfId="4120" builtinId="8" hidden="1"/>
    <cellStyle name="Hyperlink" xfId="4122" builtinId="8" hidden="1"/>
    <cellStyle name="Hyperlink" xfId="4124"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4164" builtinId="8" hidden="1"/>
    <cellStyle name="Hyperlink" xfId="4166" builtinId="8" hidden="1"/>
    <cellStyle name="Hyperlink" xfId="4168" builtinId="8" hidden="1"/>
    <cellStyle name="Hyperlink" xfId="4170" builtinId="8" hidden="1"/>
    <cellStyle name="Hyperlink" xfId="4172" builtinId="8" hidden="1"/>
    <cellStyle name="Hyperlink" xfId="4174" builtinId="8" hidden="1"/>
    <cellStyle name="Hyperlink" xfId="4176" builtinId="8" hidden="1"/>
    <cellStyle name="Hyperlink" xfId="4178" builtinId="8" hidden="1"/>
    <cellStyle name="Hyperlink" xfId="4180" builtinId="8" hidden="1"/>
    <cellStyle name="Hyperlink" xfId="4182"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xfId="4312" builtinId="8" hidden="1"/>
    <cellStyle name="Hyperlink" xfId="4314" builtinId="8" hidden="1"/>
    <cellStyle name="Hyperlink" xfId="4316" builtinId="8" hidden="1"/>
    <cellStyle name="Hyperlink" xfId="4318" builtinId="8" hidden="1"/>
    <cellStyle name="Hyperlink" xfId="4320" builtinId="8" hidden="1"/>
    <cellStyle name="Hyperlink" xfId="4322" builtinId="8" hidden="1"/>
    <cellStyle name="Hyperlink" xfId="4324" builtinId="8" hidden="1"/>
    <cellStyle name="Hyperlink" xfId="4326" builtinId="8" hidden="1"/>
    <cellStyle name="Hyperlink" xfId="4328" builtinId="8" hidden="1"/>
    <cellStyle name="Hyperlink" xfId="4330" builtinId="8" hidden="1"/>
    <cellStyle name="Hyperlink" xfId="4332" builtinId="8" hidden="1"/>
    <cellStyle name="Hyperlink" xfId="4334" builtinId="8" hidden="1"/>
    <cellStyle name="Hyperlink" xfId="4336" builtinId="8" hidden="1"/>
    <cellStyle name="Hyperlink" xfId="4338" builtinId="8" hidden="1"/>
    <cellStyle name="Hyperlink" xfId="4340" builtinId="8" hidden="1"/>
    <cellStyle name="Hyperlink" xfId="4342" builtinId="8" hidden="1"/>
    <cellStyle name="Hyperlink" xfId="4344" builtinId="8" hidden="1"/>
    <cellStyle name="Hyperlink" xfId="4346" builtinId="8" hidden="1"/>
    <cellStyle name="Hyperlink" xfId="4348" builtinId="8" hidden="1"/>
    <cellStyle name="Hyperlink" xfId="4350" builtinId="8" hidden="1"/>
    <cellStyle name="Hyperlink" xfId="4352" builtinId="8" hidden="1"/>
    <cellStyle name="Hyperlink" xfId="4354" builtinId="8" hidden="1"/>
    <cellStyle name="Hyperlink" xfId="4356" builtinId="8" hidden="1"/>
    <cellStyle name="Hyperlink" xfId="4358" builtinId="8" hidden="1"/>
    <cellStyle name="Hyperlink" xfId="4360" builtinId="8" hidden="1"/>
    <cellStyle name="Hyperlink" xfId="4362" builtinId="8" hidden="1"/>
    <cellStyle name="Hyperlink" xfId="4364" builtinId="8" hidden="1"/>
    <cellStyle name="Hyperlink" xfId="4366" builtinId="8" hidden="1"/>
    <cellStyle name="Hyperlink" xfId="4368" builtinId="8" hidden="1"/>
    <cellStyle name="Hyperlink" xfId="4370" builtinId="8" hidden="1"/>
    <cellStyle name="Hyperlink" xfId="4372" builtinId="8" hidden="1"/>
    <cellStyle name="Hyperlink" xfId="4374" builtinId="8" hidden="1"/>
    <cellStyle name="Hyperlink" xfId="4376" builtinId="8" hidden="1"/>
    <cellStyle name="Hyperlink" xfId="4378" builtinId="8" hidden="1"/>
    <cellStyle name="Hyperlink" xfId="4380" builtinId="8" hidden="1"/>
    <cellStyle name="Hyperlink" xfId="4382" builtinId="8" hidden="1"/>
    <cellStyle name="Hyperlink" xfId="4384" builtinId="8" hidden="1"/>
    <cellStyle name="Hyperlink" xfId="4386" builtinId="8" hidden="1"/>
    <cellStyle name="Hyperlink" xfId="4388" builtinId="8" hidden="1"/>
    <cellStyle name="Hyperlink" xfId="4390" builtinId="8" hidden="1"/>
    <cellStyle name="Hyperlink" xfId="4392" builtinId="8" hidden="1"/>
    <cellStyle name="Hyperlink" xfId="4394" builtinId="8" hidden="1"/>
    <cellStyle name="Hyperlink" xfId="4396" builtinId="8" hidden="1"/>
    <cellStyle name="Hyperlink" xfId="4398" builtinId="8" hidden="1"/>
    <cellStyle name="Hyperlink" xfId="4400" builtinId="8" hidden="1"/>
    <cellStyle name="Hyperlink" xfId="4402" builtinId="8" hidden="1"/>
    <cellStyle name="Hyperlink" xfId="4404" builtinId="8" hidden="1"/>
    <cellStyle name="Hyperlink" xfId="4406" builtinId="8" hidden="1"/>
    <cellStyle name="Hyperlink" xfId="4408" builtinId="8" hidden="1"/>
    <cellStyle name="Hyperlink" xfId="4410" builtinId="8" hidden="1"/>
    <cellStyle name="Hyperlink" xfId="4412" builtinId="8" hidden="1"/>
    <cellStyle name="Hyperlink" xfId="4414" builtinId="8" hidden="1"/>
    <cellStyle name="Hyperlink" xfId="4416" builtinId="8" hidden="1"/>
    <cellStyle name="Hyperlink" xfId="4418" builtinId="8" hidden="1"/>
    <cellStyle name="Hyperlink" xfId="4420" builtinId="8" hidden="1"/>
    <cellStyle name="Hyperlink" xfId="4422" builtinId="8" hidden="1"/>
    <cellStyle name="Hyperlink" xfId="4424" builtinId="8" hidden="1"/>
    <cellStyle name="Hyperlink" xfId="4426" builtinId="8" hidden="1"/>
    <cellStyle name="Hyperlink" xfId="4428" builtinId="8" hidden="1"/>
    <cellStyle name="Hyperlink" xfId="4430" builtinId="8" hidden="1"/>
    <cellStyle name="Hyperlink" xfId="4432" builtinId="8" hidden="1"/>
    <cellStyle name="Hyperlink" xfId="4434" builtinId="8" hidden="1"/>
    <cellStyle name="Hyperlink" xfId="4436" builtinId="8" hidden="1"/>
    <cellStyle name="Hyperlink" xfId="4438" builtinId="8" hidden="1"/>
    <cellStyle name="Hyperlink" xfId="4440" builtinId="8" hidden="1"/>
    <cellStyle name="Hyperlink" xfId="4442" builtinId="8" hidden="1"/>
    <cellStyle name="Hyperlink" xfId="4444" builtinId="8" hidden="1"/>
    <cellStyle name="Hyperlink" xfId="4446" builtinId="8" hidden="1"/>
    <cellStyle name="Hyperlink" xfId="4448" builtinId="8" hidden="1"/>
    <cellStyle name="Hyperlink" xfId="4450" builtinId="8" hidden="1"/>
    <cellStyle name="Hyperlink" xfId="4452" builtinId="8" hidden="1"/>
    <cellStyle name="Hyperlink" xfId="4454" builtinId="8" hidden="1"/>
    <cellStyle name="Hyperlink" xfId="4456" builtinId="8" hidden="1"/>
    <cellStyle name="Hyperlink" xfId="4458" builtinId="8" hidden="1"/>
    <cellStyle name="Hyperlink" xfId="4460" builtinId="8" hidden="1"/>
    <cellStyle name="Hyperlink" xfId="4462" builtinId="8" hidden="1"/>
    <cellStyle name="Hyperlink" xfId="4464" builtinId="8" hidden="1"/>
    <cellStyle name="Hyperlink" xfId="4466" builtinId="8" hidden="1"/>
    <cellStyle name="Hyperlink" xfId="4468" builtinId="8" hidden="1"/>
    <cellStyle name="Hyperlink" xfId="4470" builtinId="8" hidden="1"/>
    <cellStyle name="Hyperlink" xfId="4472" builtinId="8" hidden="1"/>
    <cellStyle name="Hyperlink" xfId="4474" builtinId="8" hidden="1"/>
    <cellStyle name="Hyperlink" xfId="4476" builtinId="8" hidden="1"/>
    <cellStyle name="Hyperlink" xfId="4478" builtinId="8" hidden="1"/>
    <cellStyle name="Hyperlink" xfId="4480" builtinId="8" hidden="1"/>
    <cellStyle name="Hyperlink" xfId="4482" builtinId="8" hidden="1"/>
    <cellStyle name="Hyperlink" xfId="4484" builtinId="8" hidden="1"/>
    <cellStyle name="Hyperlink" xfId="4486" builtinId="8" hidden="1"/>
    <cellStyle name="Hyperlink" xfId="4488" builtinId="8" hidden="1"/>
    <cellStyle name="Hyperlink" xfId="4490" builtinId="8" hidden="1"/>
    <cellStyle name="Hyperlink" xfId="4492" builtinId="8" hidden="1"/>
    <cellStyle name="Hyperlink" xfId="4494" builtinId="8" hidden="1"/>
    <cellStyle name="Hyperlink" xfId="4496" builtinId="8" hidden="1"/>
    <cellStyle name="Hyperlink" xfId="4498" builtinId="8" hidden="1"/>
    <cellStyle name="Hyperlink" xfId="4500" builtinId="8" hidden="1"/>
    <cellStyle name="Hyperlink" xfId="4502" builtinId="8" hidden="1"/>
    <cellStyle name="Hyperlink" xfId="4504" builtinId="8" hidden="1"/>
    <cellStyle name="Hyperlink" xfId="4506" builtinId="8" hidden="1"/>
    <cellStyle name="Hyperlink" xfId="4508" builtinId="8" hidden="1"/>
    <cellStyle name="Hyperlink" xfId="4510" builtinId="8" hidden="1"/>
    <cellStyle name="Hyperlink" xfId="4512" builtinId="8" hidden="1"/>
    <cellStyle name="Hyperlink" xfId="4514" builtinId="8" hidden="1"/>
    <cellStyle name="Hyperlink" xfId="4516" builtinId="8" hidden="1"/>
    <cellStyle name="Hyperlink" xfId="4518" builtinId="8" hidden="1"/>
    <cellStyle name="Hyperlink" xfId="4520" builtinId="8" hidden="1"/>
    <cellStyle name="Hyperlink" xfId="4522" builtinId="8" hidden="1"/>
    <cellStyle name="Hyperlink" xfId="4524" builtinId="8" hidden="1"/>
    <cellStyle name="Hyperlink" xfId="4526" builtinId="8" hidden="1"/>
    <cellStyle name="Hyperlink" xfId="4528" builtinId="8" hidden="1"/>
    <cellStyle name="Hyperlink" xfId="4530" builtinId="8" hidden="1"/>
    <cellStyle name="Hyperlink" xfId="4532" builtinId="8" hidden="1"/>
    <cellStyle name="Hyperlink" xfId="4534" builtinId="8" hidden="1"/>
    <cellStyle name="Hyperlink" xfId="4536" builtinId="8" hidden="1"/>
    <cellStyle name="Hyperlink" xfId="4538" builtinId="8" hidden="1"/>
    <cellStyle name="Hyperlink" xfId="4540" builtinId="8" hidden="1"/>
    <cellStyle name="Hyperlink" xfId="4542" builtinId="8" hidden="1"/>
    <cellStyle name="Hyperlink" xfId="4544" builtinId="8" hidden="1"/>
    <cellStyle name="Hyperlink" xfId="4546" builtinId="8" hidden="1"/>
    <cellStyle name="Hyperlink" xfId="4548" builtinId="8" hidden="1"/>
    <cellStyle name="Hyperlink" xfId="4550" builtinId="8" hidden="1"/>
    <cellStyle name="Hyperlink" xfId="4552" builtinId="8" hidden="1"/>
    <cellStyle name="Hyperlink" xfId="4554" builtinId="8" hidden="1"/>
    <cellStyle name="Hyperlink" xfId="4556" builtinId="8" hidden="1"/>
    <cellStyle name="Hyperlink" xfId="4558" builtinId="8" hidden="1"/>
    <cellStyle name="Hyperlink" xfId="4560" builtinId="8" hidden="1"/>
    <cellStyle name="Hyperlink" xfId="4562" builtinId="8" hidden="1"/>
    <cellStyle name="Hyperlink" xfId="4564" builtinId="8" hidden="1"/>
    <cellStyle name="Hyperlink" xfId="4566" builtinId="8" hidden="1"/>
    <cellStyle name="Hyperlink" xfId="4568" builtinId="8" hidden="1"/>
    <cellStyle name="Hyperlink" xfId="4570" builtinId="8" hidden="1"/>
    <cellStyle name="Hyperlink" xfId="4572" builtinId="8" hidden="1"/>
    <cellStyle name="Hyperlink" xfId="4574" builtinId="8" hidden="1"/>
    <cellStyle name="Hyperlink" xfId="4576" builtinId="8" hidden="1"/>
    <cellStyle name="Hyperlink" xfId="4578" builtinId="8" hidden="1"/>
    <cellStyle name="Hyperlink" xfId="4580" builtinId="8" hidden="1"/>
    <cellStyle name="Hyperlink" xfId="4582" builtinId="8" hidden="1"/>
    <cellStyle name="Hyperlink" xfId="4584" builtinId="8" hidden="1"/>
    <cellStyle name="Hyperlink" xfId="4586" builtinId="8" hidden="1"/>
    <cellStyle name="Hyperlink" xfId="4588" builtinId="8" hidden="1"/>
    <cellStyle name="Hyperlink" xfId="4590" builtinId="8" hidden="1"/>
    <cellStyle name="Hyperlink" xfId="4592" builtinId="8" hidden="1"/>
    <cellStyle name="Hyperlink" xfId="4594" builtinId="8" hidden="1"/>
    <cellStyle name="Hyperlink" xfId="4596" builtinId="8" hidden="1"/>
    <cellStyle name="Hyperlink" xfId="4598" builtinId="8" hidden="1"/>
    <cellStyle name="Hyperlink" xfId="4600" builtinId="8" hidden="1"/>
    <cellStyle name="Hyperlink" xfId="4602" builtinId="8" hidden="1"/>
    <cellStyle name="Hyperlink" xfId="4604" builtinId="8" hidden="1"/>
    <cellStyle name="Hyperlink" xfId="4606" builtinId="8" hidden="1"/>
    <cellStyle name="Hyperlink" xfId="4608" builtinId="8" hidden="1"/>
    <cellStyle name="Hyperlink" xfId="4610" builtinId="8" hidden="1"/>
    <cellStyle name="Hyperlink" xfId="4612" builtinId="8" hidden="1"/>
    <cellStyle name="Hyperlink" xfId="4614" builtinId="8" hidden="1"/>
    <cellStyle name="Hyperlink" xfId="4616" builtinId="8" hidden="1"/>
    <cellStyle name="Hyperlink" xfId="4618" builtinId="8" hidden="1"/>
    <cellStyle name="Hyperlink" xfId="4620" builtinId="8" hidden="1"/>
    <cellStyle name="Hyperlink" xfId="4622" builtinId="8" hidden="1"/>
    <cellStyle name="Hyperlink" xfId="4624" builtinId="8" hidden="1"/>
    <cellStyle name="Hyperlink" xfId="4626" builtinId="8" hidden="1"/>
    <cellStyle name="Hyperlink" xfId="4628" builtinId="8" hidden="1"/>
    <cellStyle name="Hyperlink" xfId="4630" builtinId="8" hidden="1"/>
    <cellStyle name="Hyperlink" xfId="4632" builtinId="8" hidden="1"/>
    <cellStyle name="Hyperlink" xfId="4634" builtinId="8" hidden="1"/>
    <cellStyle name="Hyperlink" xfId="4636" builtinId="8" hidden="1"/>
    <cellStyle name="Hyperlink" xfId="4638" builtinId="8" hidden="1"/>
    <cellStyle name="Hyperlink" xfId="4640" builtinId="8" hidden="1"/>
    <cellStyle name="Hyperlink" xfId="4642" builtinId="8" hidden="1"/>
    <cellStyle name="Hyperlink" xfId="4644" builtinId="8" hidden="1"/>
    <cellStyle name="Hyperlink" xfId="4646" builtinId="8" hidden="1"/>
    <cellStyle name="Hyperlink" xfId="4648" builtinId="8" hidden="1"/>
    <cellStyle name="Hyperlink" xfId="4650" builtinId="8" hidden="1"/>
    <cellStyle name="Hyperlink" xfId="4652" builtinId="8" hidden="1"/>
    <cellStyle name="Hyperlink" xfId="4654" builtinId="8" hidden="1"/>
    <cellStyle name="Hyperlink" xfId="4656" builtinId="8" hidden="1"/>
    <cellStyle name="Hyperlink" xfId="4658" builtinId="8" hidden="1"/>
    <cellStyle name="Hyperlink" xfId="4660" builtinId="8" hidden="1"/>
    <cellStyle name="Hyperlink" xfId="4662" builtinId="8" hidden="1"/>
    <cellStyle name="Hyperlink" xfId="4664" builtinId="8" hidden="1"/>
    <cellStyle name="Hyperlink" xfId="4666" builtinId="8" hidden="1"/>
    <cellStyle name="Hyperlink" xfId="4668" builtinId="8" hidden="1"/>
    <cellStyle name="Hyperlink" xfId="4670" builtinId="8" hidden="1"/>
    <cellStyle name="Hyperlink" xfId="4672" builtinId="8" hidden="1"/>
    <cellStyle name="Hyperlink" xfId="4674" builtinId="8" hidden="1"/>
    <cellStyle name="Hyperlink" xfId="4676" builtinId="8" hidden="1"/>
    <cellStyle name="Hyperlink" xfId="4678" builtinId="8" hidden="1"/>
    <cellStyle name="Hyperlink" xfId="4680" builtinId="8" hidden="1"/>
    <cellStyle name="Hyperlink" xfId="4682" builtinId="8" hidden="1"/>
    <cellStyle name="Hyperlink" xfId="4684" builtinId="8" hidden="1"/>
    <cellStyle name="Hyperlink" xfId="4686" builtinId="8" hidden="1"/>
    <cellStyle name="Hyperlink" xfId="4688" builtinId="8" hidden="1"/>
    <cellStyle name="Hyperlink" xfId="4690" builtinId="8" hidden="1"/>
    <cellStyle name="Hyperlink" xfId="4692" builtinId="8" hidden="1"/>
    <cellStyle name="Hyperlink" xfId="4694" builtinId="8" hidden="1"/>
    <cellStyle name="Hyperlink" xfId="4696" builtinId="8" hidden="1"/>
    <cellStyle name="Hyperlink" xfId="4698" builtinId="8" hidden="1"/>
    <cellStyle name="Hyperlink" xfId="4700" builtinId="8" hidden="1"/>
    <cellStyle name="Hyperlink" xfId="4702" builtinId="8" hidden="1"/>
    <cellStyle name="Hyperlink" xfId="4704" builtinId="8" hidden="1"/>
    <cellStyle name="Hyperlink" xfId="4706" builtinId="8" hidden="1"/>
    <cellStyle name="Hyperlink" xfId="4708" builtinId="8" hidden="1"/>
    <cellStyle name="Hyperlink" xfId="4710" builtinId="8" hidden="1"/>
    <cellStyle name="Hyperlink" xfId="4712" builtinId="8" hidden="1"/>
    <cellStyle name="Hyperlink" xfId="4714" builtinId="8" hidden="1"/>
    <cellStyle name="Hyperlink" xfId="4716" builtinId="8" hidden="1"/>
    <cellStyle name="Hyperlink" xfId="4718" builtinId="8" hidden="1"/>
    <cellStyle name="Hyperlink" xfId="4720" builtinId="8" hidden="1"/>
    <cellStyle name="Hyperlink" xfId="4722" builtinId="8" hidden="1"/>
    <cellStyle name="Hyperlink" xfId="4724" builtinId="8" hidden="1"/>
    <cellStyle name="Hyperlink" xfId="4726" builtinId="8" hidden="1"/>
    <cellStyle name="Hyperlink" xfId="4728" builtinId="8" hidden="1"/>
    <cellStyle name="Hyperlink" xfId="4730" builtinId="8" hidden="1"/>
    <cellStyle name="Hyperlink" xfId="4732" builtinId="8" hidden="1"/>
    <cellStyle name="Hyperlink" xfId="4734" builtinId="8" hidden="1"/>
    <cellStyle name="Hyperlink" xfId="4736" builtinId="8" hidden="1"/>
    <cellStyle name="Hyperlink" xfId="4738" builtinId="8" hidden="1"/>
    <cellStyle name="Hyperlink" xfId="4740" builtinId="8" hidden="1"/>
    <cellStyle name="Hyperlink" xfId="4742" builtinId="8" hidden="1"/>
    <cellStyle name="Hyperlink" xfId="4744" builtinId="8" hidden="1"/>
    <cellStyle name="Hyperlink" xfId="4746" builtinId="8" hidden="1"/>
    <cellStyle name="Hyperlink" xfId="4748" builtinId="8" hidden="1"/>
    <cellStyle name="Hyperlink" xfId="4750" builtinId="8" hidden="1"/>
    <cellStyle name="Hyperlink" xfId="4752" builtinId="8" hidden="1"/>
    <cellStyle name="Hyperlink" xfId="4754" builtinId="8" hidden="1"/>
    <cellStyle name="Hyperlink" xfId="4756" builtinId="8" hidden="1"/>
    <cellStyle name="Hyperlink" xfId="4758" builtinId="8" hidden="1"/>
    <cellStyle name="Hyperlink" xfId="4760" builtinId="8" hidden="1"/>
    <cellStyle name="Hyperlink" xfId="4762" builtinId="8" hidden="1"/>
    <cellStyle name="Hyperlink" xfId="4764" builtinId="8" hidden="1"/>
    <cellStyle name="Hyperlink" xfId="4766" builtinId="8" hidden="1"/>
    <cellStyle name="Hyperlink" xfId="4768" builtinId="8" hidden="1"/>
    <cellStyle name="Hyperlink" xfId="4770" builtinId="8" hidden="1"/>
    <cellStyle name="Hyperlink" xfId="4772" builtinId="8" hidden="1"/>
    <cellStyle name="Hyperlink" xfId="4774" builtinId="8" hidden="1"/>
    <cellStyle name="Hyperlink" xfId="4776" builtinId="8" hidden="1"/>
    <cellStyle name="Hyperlink" xfId="4778" builtinId="8" hidden="1"/>
    <cellStyle name="Hyperlink" xfId="4780" builtinId="8" hidden="1"/>
    <cellStyle name="Hyperlink" xfId="4782" builtinId="8" hidden="1"/>
    <cellStyle name="Hyperlink" xfId="4784" builtinId="8" hidden="1"/>
    <cellStyle name="Hyperlink" xfId="4786" builtinId="8" hidden="1"/>
    <cellStyle name="Hyperlink" xfId="4788" builtinId="8" hidden="1"/>
    <cellStyle name="Hyperlink" xfId="4790" builtinId="8" hidden="1"/>
    <cellStyle name="Hyperlink" xfId="4792" builtinId="8" hidden="1"/>
    <cellStyle name="Hyperlink" xfId="4794" builtinId="8" hidden="1"/>
    <cellStyle name="Hyperlink" xfId="4796" builtinId="8" hidden="1"/>
    <cellStyle name="Hyperlink" xfId="4798" builtinId="8" hidden="1"/>
    <cellStyle name="Hyperlink" xfId="4800" builtinId="8" hidden="1"/>
    <cellStyle name="Hyperlink" xfId="4802" builtinId="8" hidden="1"/>
    <cellStyle name="Hyperlink" xfId="4804" builtinId="8" hidden="1"/>
    <cellStyle name="Hyperlink" xfId="4806" builtinId="8" hidden="1"/>
    <cellStyle name="Hyperlink" xfId="4808" builtinId="8" hidden="1"/>
    <cellStyle name="Hyperlink" xfId="4810" builtinId="8" hidden="1"/>
    <cellStyle name="Hyperlink" xfId="4812" builtinId="8" hidden="1"/>
    <cellStyle name="Hyperlink" xfId="4814" builtinId="8" hidden="1"/>
    <cellStyle name="Hyperlink" xfId="4816" builtinId="8" hidden="1"/>
    <cellStyle name="Hyperlink" xfId="4818" builtinId="8" hidden="1"/>
    <cellStyle name="Hyperlink" xfId="4820" builtinId="8" hidden="1"/>
    <cellStyle name="Hyperlink" xfId="4822" builtinId="8" hidden="1"/>
    <cellStyle name="Hyperlink" xfId="4824" builtinId="8" hidden="1"/>
    <cellStyle name="Hyperlink" xfId="4826" builtinId="8" hidden="1"/>
    <cellStyle name="Hyperlink" xfId="4828" builtinId="8" hidden="1"/>
    <cellStyle name="Hyperlink" xfId="4830" builtinId="8" hidden="1"/>
    <cellStyle name="Hyperlink" xfId="4832" builtinId="8" hidden="1"/>
    <cellStyle name="Hyperlink" xfId="4834" builtinId="8" hidden="1"/>
    <cellStyle name="Hyperlink" xfId="4836" builtinId="8" hidden="1"/>
    <cellStyle name="Hyperlink" xfId="4838" builtinId="8" hidden="1"/>
    <cellStyle name="Hyperlink" xfId="4840" builtinId="8" hidden="1"/>
    <cellStyle name="Hyperlink" xfId="4842" builtinId="8" hidden="1"/>
    <cellStyle name="Hyperlink" xfId="4844" builtinId="8" hidden="1"/>
    <cellStyle name="Hyperlink" xfId="4846" builtinId="8" hidden="1"/>
    <cellStyle name="Hyperlink" xfId="4848" builtinId="8" hidden="1"/>
    <cellStyle name="Hyperlink" xfId="4850" builtinId="8" hidden="1"/>
    <cellStyle name="Hyperlink" xfId="4852" builtinId="8" hidden="1"/>
    <cellStyle name="Hyperlink" xfId="4854" builtinId="8" hidden="1"/>
    <cellStyle name="Hyperlink" xfId="4856" builtinId="8" hidden="1"/>
    <cellStyle name="Hyperlink" xfId="4858" builtinId="8" hidden="1"/>
    <cellStyle name="Hyperlink" xfId="4860" builtinId="8" hidden="1"/>
    <cellStyle name="Hyperlink" xfId="4862" builtinId="8" hidden="1"/>
    <cellStyle name="Hyperlink" xfId="4864" builtinId="8" hidden="1"/>
    <cellStyle name="Hyperlink" xfId="4866" builtinId="8" hidden="1"/>
    <cellStyle name="Hyperlink" xfId="4868" builtinId="8" hidden="1"/>
    <cellStyle name="Hyperlink" xfId="4870" builtinId="8" hidden="1"/>
    <cellStyle name="Hyperlink" xfId="4872" builtinId="8" hidden="1"/>
    <cellStyle name="Hyperlink" xfId="4874" builtinId="8" hidden="1"/>
    <cellStyle name="Hyperlink" xfId="4876" builtinId="8" hidden="1"/>
    <cellStyle name="Hyperlink" xfId="4878" builtinId="8" hidden="1"/>
    <cellStyle name="Hyperlink" xfId="4880" builtinId="8" hidden="1"/>
    <cellStyle name="Hyperlink" xfId="4882" builtinId="8" hidden="1"/>
    <cellStyle name="Hyperlink" xfId="4884" builtinId="8" hidden="1"/>
    <cellStyle name="Hyperlink" xfId="4886" builtinId="8" hidden="1"/>
    <cellStyle name="Hyperlink" xfId="4888" builtinId="8" hidden="1"/>
    <cellStyle name="Hyperlink" xfId="4890" builtinId="8" hidden="1"/>
    <cellStyle name="Hyperlink" xfId="4892" builtinId="8" hidden="1"/>
    <cellStyle name="Hyperlink" xfId="4894" builtinId="8" hidden="1"/>
    <cellStyle name="Hyperlink" xfId="4896" builtinId="8" hidden="1"/>
    <cellStyle name="Hyperlink" xfId="4898" builtinId="8" hidden="1"/>
    <cellStyle name="Hyperlink" xfId="4900" builtinId="8" hidden="1"/>
    <cellStyle name="Hyperlink" xfId="4902" builtinId="8" hidden="1"/>
    <cellStyle name="Hyperlink" xfId="4904" builtinId="8" hidden="1"/>
    <cellStyle name="Hyperlink" xfId="4906" builtinId="8" hidden="1"/>
    <cellStyle name="Hyperlink" xfId="4908" builtinId="8" hidden="1"/>
    <cellStyle name="Hyperlink" xfId="4910" builtinId="8" hidden="1"/>
    <cellStyle name="Hyperlink" xfId="4912" builtinId="8" hidden="1"/>
    <cellStyle name="Hyperlink" xfId="4914" builtinId="8" hidden="1"/>
    <cellStyle name="Hyperlink" xfId="4916" builtinId="8" hidden="1"/>
    <cellStyle name="Hyperlink" xfId="4918" builtinId="8" hidden="1"/>
    <cellStyle name="Hyperlink" xfId="4920" builtinId="8" hidden="1"/>
    <cellStyle name="Hyperlink" xfId="4922" builtinId="8" hidden="1"/>
    <cellStyle name="Hyperlink" xfId="4924" builtinId="8" hidden="1"/>
    <cellStyle name="Hyperlink" xfId="4926" builtinId="8" hidden="1"/>
    <cellStyle name="Hyperlink" xfId="4928" builtinId="8" hidden="1"/>
    <cellStyle name="Hyperlink" xfId="4930" builtinId="8" hidden="1"/>
    <cellStyle name="Hyperlink" xfId="4932" builtinId="8" hidden="1"/>
    <cellStyle name="Hyperlink" xfId="4934" builtinId="8" hidden="1"/>
    <cellStyle name="Hyperlink" xfId="4936" builtinId="8" hidden="1"/>
    <cellStyle name="Hyperlink" xfId="4938" builtinId="8" hidden="1"/>
    <cellStyle name="Hyperlink" xfId="4940" builtinId="8" hidden="1"/>
    <cellStyle name="Hyperlink" xfId="4942" builtinId="8" hidden="1"/>
    <cellStyle name="Hyperlink" xfId="4944" builtinId="8" hidden="1"/>
    <cellStyle name="Hyperlink" xfId="4946" builtinId="8" hidden="1"/>
    <cellStyle name="Hyperlink" xfId="4948" builtinId="8" hidden="1"/>
    <cellStyle name="Hyperlink" xfId="4950" builtinId="8" hidden="1"/>
    <cellStyle name="Hyperlink" xfId="4952" builtinId="8" hidden="1"/>
    <cellStyle name="Hyperlink" xfId="4954" builtinId="8" hidden="1"/>
    <cellStyle name="Hyperlink" xfId="4956" builtinId="8" hidden="1"/>
    <cellStyle name="Hyperlink" xfId="4958" builtinId="8" hidden="1"/>
    <cellStyle name="Hyperlink" xfId="4960" builtinId="8" hidden="1"/>
    <cellStyle name="Hyperlink" xfId="4962" builtinId="8" hidden="1"/>
    <cellStyle name="Hyperlink" xfId="4964" builtinId="8" hidden="1"/>
    <cellStyle name="Hyperlink" xfId="4966" builtinId="8" hidden="1"/>
    <cellStyle name="Hyperlink" xfId="4968" builtinId="8" hidden="1"/>
    <cellStyle name="Hyperlink" xfId="4970" builtinId="8" hidden="1"/>
    <cellStyle name="Hyperlink" xfId="4972" builtinId="8" hidden="1"/>
    <cellStyle name="Hyperlink" xfId="4974" builtinId="8" hidden="1"/>
    <cellStyle name="Hyperlink" xfId="4976" builtinId="8" hidden="1"/>
    <cellStyle name="Hyperlink" xfId="4978" builtinId="8" hidden="1"/>
    <cellStyle name="Hyperlink" xfId="4980" builtinId="8" hidden="1"/>
    <cellStyle name="Hyperlink" xfId="4982" builtinId="8" hidden="1"/>
    <cellStyle name="Hyperlink" xfId="4984" builtinId="8" hidden="1"/>
    <cellStyle name="Hyperlink" xfId="4986" builtinId="8" hidden="1"/>
    <cellStyle name="Hyperlink" xfId="4988" builtinId="8" hidden="1"/>
    <cellStyle name="Hyperlink" xfId="4990" builtinId="8" hidden="1"/>
    <cellStyle name="Hyperlink" xfId="4992" builtinId="8" hidden="1"/>
    <cellStyle name="Hyperlink" xfId="4994" builtinId="8" hidden="1"/>
    <cellStyle name="Hyperlink" xfId="4996" builtinId="8" hidden="1"/>
    <cellStyle name="Hyperlink" xfId="4998" builtinId="8" hidden="1"/>
    <cellStyle name="Hyperlink" xfId="5000" builtinId="8" hidden="1"/>
    <cellStyle name="Hyperlink" xfId="5002" builtinId="8" hidden="1"/>
    <cellStyle name="Hyperlink" xfId="5004" builtinId="8" hidden="1"/>
    <cellStyle name="Hyperlink" xfId="5006" builtinId="8" hidden="1"/>
    <cellStyle name="Hyperlink" xfId="5008" builtinId="8" hidden="1"/>
    <cellStyle name="Hyperlink" xfId="5010" builtinId="8" hidden="1"/>
    <cellStyle name="Hyperlink" xfId="5012" builtinId="8" hidden="1"/>
    <cellStyle name="Hyperlink" xfId="5014" builtinId="8" hidden="1"/>
    <cellStyle name="Hyperlink" xfId="5016" builtinId="8" hidden="1"/>
    <cellStyle name="Hyperlink" xfId="5018" builtinId="8" hidden="1"/>
    <cellStyle name="Hyperlink" xfId="5020" builtinId="8" hidden="1"/>
    <cellStyle name="Hyperlink" xfId="5022" builtinId="8" hidden="1"/>
    <cellStyle name="Hyperlink" xfId="5024" builtinId="8" hidden="1"/>
    <cellStyle name="Hyperlink" xfId="5026" builtinId="8" hidden="1"/>
    <cellStyle name="Hyperlink" xfId="5028" builtinId="8" hidden="1"/>
    <cellStyle name="Hyperlink" xfId="5030" builtinId="8" hidden="1"/>
    <cellStyle name="Hyperlink" xfId="5032" builtinId="8" hidden="1"/>
    <cellStyle name="Hyperlink" xfId="5034" builtinId="8" hidden="1"/>
    <cellStyle name="Hyperlink" xfId="5036" builtinId="8" hidden="1"/>
    <cellStyle name="Hyperlink" xfId="5038" builtinId="8" hidden="1"/>
    <cellStyle name="Hyperlink" xfId="5040" builtinId="8" hidden="1"/>
    <cellStyle name="Hyperlink" xfId="5042" builtinId="8" hidden="1"/>
    <cellStyle name="Hyperlink" xfId="5044" builtinId="8" hidden="1"/>
    <cellStyle name="Hyperlink" xfId="5046" builtinId="8" hidden="1"/>
    <cellStyle name="Hyperlink" xfId="5048" builtinId="8" hidden="1"/>
    <cellStyle name="Hyperlink" xfId="5050" builtinId="8" hidden="1"/>
    <cellStyle name="Hyperlink" xfId="5052" builtinId="8" hidden="1"/>
    <cellStyle name="Hyperlink" xfId="5054" builtinId="8" hidden="1"/>
    <cellStyle name="Hyperlink" xfId="5056" builtinId="8" hidden="1"/>
    <cellStyle name="Hyperlink" xfId="5058" builtinId="8" hidden="1"/>
    <cellStyle name="Hyperlink" xfId="5060" builtinId="8" hidden="1"/>
    <cellStyle name="Hyperlink" xfId="5062" builtinId="8" hidden="1"/>
    <cellStyle name="Hyperlink" xfId="5064" builtinId="8" hidden="1"/>
    <cellStyle name="Hyperlink" xfId="5066" builtinId="8" hidden="1"/>
    <cellStyle name="Hyperlink" xfId="5068" builtinId="8" hidden="1"/>
    <cellStyle name="Hyperlink" xfId="5070" builtinId="8" hidden="1"/>
    <cellStyle name="Hyperlink" xfId="5072" builtinId="8" hidden="1"/>
    <cellStyle name="Hyperlink" xfId="5074" builtinId="8" hidden="1"/>
    <cellStyle name="Hyperlink" xfId="5076" builtinId="8" hidden="1"/>
    <cellStyle name="Hyperlink" xfId="5078" builtinId="8" hidden="1"/>
    <cellStyle name="Hyperlink" xfId="5080" builtinId="8" hidden="1"/>
    <cellStyle name="Hyperlink" xfId="5082" builtinId="8" hidden="1"/>
    <cellStyle name="Hyperlink" xfId="5084" builtinId="8" hidden="1"/>
    <cellStyle name="Hyperlink" xfId="5086" builtinId="8" hidden="1"/>
    <cellStyle name="Hyperlink" xfId="5088" builtinId="8" hidden="1"/>
    <cellStyle name="Hyperlink" xfId="5090" builtinId="8" hidden="1"/>
    <cellStyle name="Hyperlink" xfId="5092" builtinId="8" hidden="1"/>
    <cellStyle name="Hyperlink" xfId="5094" builtinId="8" hidden="1"/>
    <cellStyle name="Hyperlink" xfId="5096" builtinId="8" hidden="1"/>
    <cellStyle name="Hyperlink" xfId="5098" builtinId="8" hidden="1"/>
    <cellStyle name="Hyperlink" xfId="5100" builtinId="8" hidden="1"/>
    <cellStyle name="Hyperlink" xfId="5102" builtinId="8" hidden="1"/>
    <cellStyle name="Hyperlink" xfId="5104" builtinId="8" hidden="1"/>
    <cellStyle name="Hyperlink" xfId="5106" builtinId="8" hidden="1"/>
    <cellStyle name="Hyperlink" xfId="5108" builtinId="8" hidden="1"/>
    <cellStyle name="Hyperlink" xfId="5110" builtinId="8" hidden="1"/>
    <cellStyle name="Hyperlink" xfId="5112" builtinId="8" hidden="1"/>
    <cellStyle name="Hyperlink" xfId="5114" builtinId="8" hidden="1"/>
    <cellStyle name="Hyperlink" xfId="5116" builtinId="8" hidden="1"/>
    <cellStyle name="Hyperlink" xfId="5118" builtinId="8" hidden="1"/>
    <cellStyle name="Hyperlink" xfId="5120" builtinId="8" hidden="1"/>
    <cellStyle name="Hyperlink" xfId="5122" builtinId="8" hidden="1"/>
    <cellStyle name="Hyperlink" xfId="5124" builtinId="8" hidden="1"/>
    <cellStyle name="Hyperlink" xfId="5126" builtinId="8" hidden="1"/>
    <cellStyle name="Hyperlink" xfId="5128" builtinId="8" hidden="1"/>
    <cellStyle name="Hyperlink" xfId="5130" builtinId="8" hidden="1"/>
    <cellStyle name="Hyperlink" xfId="5132" builtinId="8" hidden="1"/>
    <cellStyle name="Hyperlink" xfId="5134" builtinId="8" hidden="1"/>
    <cellStyle name="Hyperlink" xfId="5136" builtinId="8" hidden="1"/>
    <cellStyle name="Hyperlink" xfId="5138" builtinId="8" hidden="1"/>
    <cellStyle name="Hyperlink" xfId="5140" builtinId="8" hidden="1"/>
    <cellStyle name="Hyperlink" xfId="5142" builtinId="8" hidden="1"/>
    <cellStyle name="Hyperlink" xfId="5144" builtinId="8" hidden="1"/>
    <cellStyle name="Hyperlink" xfId="5146" builtinId="8" hidden="1"/>
    <cellStyle name="Hyperlink" xfId="5148" builtinId="8" hidden="1"/>
    <cellStyle name="Hyperlink" xfId="5150" builtinId="8" hidden="1"/>
    <cellStyle name="Hyperlink" xfId="5152" builtinId="8" hidden="1"/>
    <cellStyle name="Hyperlink" xfId="5154" builtinId="8" hidden="1"/>
    <cellStyle name="Hyperlink" xfId="5156" builtinId="8" hidden="1"/>
    <cellStyle name="Hyperlink" xfId="5158" builtinId="8" hidden="1"/>
    <cellStyle name="Hyperlink" xfId="5160" builtinId="8" hidden="1"/>
    <cellStyle name="Hyperlink" xfId="5162" builtinId="8" hidden="1"/>
    <cellStyle name="Hyperlink" xfId="5164" builtinId="8" hidden="1"/>
    <cellStyle name="Hyperlink" xfId="5166" builtinId="8" hidden="1"/>
    <cellStyle name="Hyperlink" xfId="5168" builtinId="8" hidden="1"/>
    <cellStyle name="Hyperlink" xfId="5170" builtinId="8" hidden="1"/>
    <cellStyle name="Hyperlink" xfId="5172" builtinId="8" hidden="1"/>
    <cellStyle name="Hyperlink" xfId="5174" builtinId="8" hidden="1"/>
    <cellStyle name="Hyperlink" xfId="5176" builtinId="8" hidden="1"/>
    <cellStyle name="Hyperlink" xfId="5178" builtinId="8" hidden="1"/>
    <cellStyle name="Hyperlink" xfId="5180" builtinId="8" hidden="1"/>
    <cellStyle name="Hyperlink" xfId="5182" builtinId="8" hidden="1"/>
    <cellStyle name="Hyperlink" xfId="5184" builtinId="8" hidden="1"/>
    <cellStyle name="Hyperlink" xfId="5186" builtinId="8" hidden="1"/>
    <cellStyle name="Hyperlink" xfId="5188" builtinId="8" hidden="1"/>
    <cellStyle name="Hyperlink" xfId="5190" builtinId="8" hidden="1"/>
    <cellStyle name="Hyperlink" xfId="5192" builtinId="8" hidden="1"/>
    <cellStyle name="Hyperlink" xfId="5194" builtinId="8" hidden="1"/>
    <cellStyle name="Hyperlink" xfId="5196" builtinId="8" hidden="1"/>
    <cellStyle name="Hyperlink" xfId="5198" builtinId="8" hidden="1"/>
    <cellStyle name="Hyperlink" xfId="5200" builtinId="8" hidden="1"/>
    <cellStyle name="Hyperlink" xfId="5202" builtinId="8" hidden="1"/>
    <cellStyle name="Hyperlink" xfId="5204" builtinId="8" hidden="1"/>
    <cellStyle name="Hyperlink" xfId="5206" builtinId="8" hidden="1"/>
    <cellStyle name="Hyperlink" xfId="5208" builtinId="8" hidden="1"/>
    <cellStyle name="Hyperlink" xfId="5210" builtinId="8" hidden="1"/>
    <cellStyle name="Hyperlink" xfId="5212" builtinId="8" hidden="1"/>
    <cellStyle name="Hyperlink" xfId="5214" builtinId="8" hidden="1"/>
    <cellStyle name="Hyperlink" xfId="5216" builtinId="8" hidden="1"/>
    <cellStyle name="Hyperlink" xfId="5218" builtinId="8" hidden="1"/>
    <cellStyle name="Hyperlink" xfId="5220" builtinId="8" hidden="1"/>
    <cellStyle name="Hyperlink" xfId="5222" builtinId="8" hidden="1"/>
    <cellStyle name="Hyperlink" xfId="5224" builtinId="8" hidden="1"/>
    <cellStyle name="Hyperlink" xfId="5226" builtinId="8" hidden="1"/>
    <cellStyle name="Hyperlink" xfId="5228" builtinId="8" hidden="1"/>
    <cellStyle name="Hyperlink" xfId="5230" builtinId="8" hidden="1"/>
    <cellStyle name="Hyperlink" xfId="5232" builtinId="8" hidden="1"/>
    <cellStyle name="Hyperlink" xfId="5234" builtinId="8" hidden="1"/>
    <cellStyle name="Hyperlink" xfId="5236" builtinId="8" hidden="1"/>
    <cellStyle name="Hyperlink" xfId="5238" builtinId="8" hidden="1"/>
    <cellStyle name="Hyperlink" xfId="5240" builtinId="8" hidden="1"/>
    <cellStyle name="Hyperlink" xfId="5242" builtinId="8" hidden="1"/>
    <cellStyle name="Hyperlink" xfId="5244" builtinId="8" hidden="1"/>
    <cellStyle name="Hyperlink" xfId="5246" builtinId="8" hidden="1"/>
    <cellStyle name="Hyperlink" xfId="5248" builtinId="8" hidden="1"/>
    <cellStyle name="Hyperlink" xfId="5250" builtinId="8" hidden="1"/>
    <cellStyle name="Hyperlink" xfId="5252" builtinId="8" hidden="1"/>
    <cellStyle name="Hyperlink" xfId="5254" builtinId="8" hidden="1"/>
    <cellStyle name="Hyperlink" xfId="5256" builtinId="8" hidden="1"/>
    <cellStyle name="Hyperlink" xfId="5258" builtinId="8" hidden="1"/>
    <cellStyle name="Hyperlink" xfId="5260" builtinId="8" hidden="1"/>
    <cellStyle name="Hyperlink" xfId="5262" builtinId="8" hidden="1"/>
    <cellStyle name="Hyperlink" xfId="5264" builtinId="8" hidden="1"/>
    <cellStyle name="Hyperlink" xfId="5266" builtinId="8" hidden="1"/>
    <cellStyle name="Hyperlink" xfId="5268" builtinId="8" hidden="1"/>
    <cellStyle name="Hyperlink" xfId="5270" builtinId="8" hidden="1"/>
    <cellStyle name="Hyperlink" xfId="5272" builtinId="8" hidden="1"/>
    <cellStyle name="Hyperlink" xfId="5274" builtinId="8" hidden="1"/>
    <cellStyle name="Hyperlink" xfId="5276" builtinId="8" hidden="1"/>
    <cellStyle name="Hyperlink" xfId="5278" builtinId="8" hidden="1"/>
    <cellStyle name="Hyperlink" xfId="5280" builtinId="8" hidden="1"/>
    <cellStyle name="Hyperlink" xfId="5282" builtinId="8" hidden="1"/>
    <cellStyle name="Hyperlink" xfId="5284" builtinId="8" hidden="1"/>
    <cellStyle name="Hyperlink" xfId="5286" builtinId="8" hidden="1"/>
    <cellStyle name="Hyperlink" xfId="5288" builtinId="8" hidden="1"/>
    <cellStyle name="Hyperlink" xfId="5290" builtinId="8" hidden="1"/>
    <cellStyle name="Hyperlink" xfId="5292" builtinId="8" hidden="1"/>
    <cellStyle name="Hyperlink" xfId="5294" builtinId="8" hidden="1"/>
    <cellStyle name="Hyperlink" xfId="5296" builtinId="8" hidden="1"/>
    <cellStyle name="Hyperlink" xfId="5298" builtinId="8" hidden="1"/>
    <cellStyle name="Hyperlink" xfId="5300" builtinId="8" hidden="1"/>
    <cellStyle name="Hyperlink" xfId="5302" builtinId="8" hidden="1"/>
    <cellStyle name="Hyperlink" xfId="5304" builtinId="8" hidden="1"/>
    <cellStyle name="Hyperlink" xfId="5306" builtinId="8" hidden="1"/>
    <cellStyle name="Hyperlink" xfId="5308" builtinId="8" hidden="1"/>
    <cellStyle name="Hyperlink" xfId="5310" builtinId="8" hidden="1"/>
    <cellStyle name="Hyperlink" xfId="5312" builtinId="8" hidden="1"/>
    <cellStyle name="Hyperlink" xfId="5314" builtinId="8" hidden="1"/>
    <cellStyle name="Hyperlink" xfId="5316" builtinId="8" hidden="1"/>
    <cellStyle name="Hyperlink" xfId="5318" builtinId="8" hidden="1"/>
    <cellStyle name="Hyperlink" xfId="5320" builtinId="8" hidden="1"/>
    <cellStyle name="Hyperlink" xfId="5322" builtinId="8" hidden="1"/>
    <cellStyle name="Hyperlink" xfId="5324" builtinId="8" hidden="1"/>
    <cellStyle name="Hyperlink" xfId="5326" builtinId="8" hidden="1"/>
    <cellStyle name="Hyperlink" xfId="5328" builtinId="8" hidden="1"/>
    <cellStyle name="Hyperlink" xfId="5330" builtinId="8" hidden="1"/>
    <cellStyle name="Hyperlink" xfId="5332" builtinId="8" hidden="1"/>
    <cellStyle name="Hyperlink" xfId="5334" builtinId="8" hidden="1"/>
    <cellStyle name="Hyperlink" xfId="5336" builtinId="8" hidden="1"/>
    <cellStyle name="Hyperlink" xfId="5338" builtinId="8" hidden="1"/>
    <cellStyle name="Hyperlink" xfId="5340" builtinId="8" hidden="1"/>
    <cellStyle name="Hyperlink" xfId="5342" builtinId="8" hidden="1"/>
    <cellStyle name="Hyperlink" xfId="5344" builtinId="8" hidden="1"/>
    <cellStyle name="Hyperlink" xfId="5346" builtinId="8" hidden="1"/>
    <cellStyle name="Hyperlink" xfId="5348" builtinId="8" hidden="1"/>
    <cellStyle name="Hyperlink" xfId="5350" builtinId="8" hidden="1"/>
    <cellStyle name="Hyperlink" xfId="5352" builtinId="8" hidden="1"/>
    <cellStyle name="Hyperlink" xfId="5354" builtinId="8" hidden="1"/>
    <cellStyle name="Hyperlink" xfId="5356" builtinId="8" hidden="1"/>
    <cellStyle name="Hyperlink" xfId="5358" builtinId="8" hidden="1"/>
    <cellStyle name="Hyperlink" xfId="5360" builtinId="8" hidden="1"/>
    <cellStyle name="Hyperlink" xfId="5362" builtinId="8" hidden="1"/>
    <cellStyle name="Hyperlink" xfId="5364" builtinId="8" hidden="1"/>
    <cellStyle name="Hyperlink" xfId="5366" builtinId="8" hidden="1"/>
    <cellStyle name="Hyperlink" xfId="5368" builtinId="8" hidden="1"/>
    <cellStyle name="Hyperlink" xfId="5370" builtinId="8" hidden="1"/>
    <cellStyle name="Hyperlink" xfId="5372" builtinId="8" hidden="1"/>
    <cellStyle name="Hyperlink" xfId="5374" builtinId="8" hidden="1"/>
    <cellStyle name="Hyperlink" xfId="5376" builtinId="8" hidden="1"/>
    <cellStyle name="Hyperlink" xfId="5378" builtinId="8" hidden="1"/>
    <cellStyle name="Hyperlink" xfId="5380" builtinId="8" hidden="1"/>
    <cellStyle name="Hyperlink" xfId="5382" builtinId="8" hidden="1"/>
    <cellStyle name="Hyperlink" xfId="5384" builtinId="8" hidden="1"/>
    <cellStyle name="Hyperlink" xfId="5386" builtinId="8" hidden="1"/>
    <cellStyle name="Hyperlink" xfId="5388" builtinId="8" hidden="1"/>
    <cellStyle name="Hyperlink" xfId="5390" builtinId="8" hidden="1"/>
    <cellStyle name="Hyperlink" xfId="5392" builtinId="8" hidden="1"/>
    <cellStyle name="Hyperlink" xfId="5394" builtinId="8" hidden="1"/>
    <cellStyle name="Hyperlink" xfId="5396" builtinId="8" hidden="1"/>
    <cellStyle name="Hyperlink" xfId="5398" builtinId="8" hidden="1"/>
    <cellStyle name="Hyperlink" xfId="5400" builtinId="8" hidden="1"/>
    <cellStyle name="Hyperlink" xfId="5402" builtinId="8" hidden="1"/>
    <cellStyle name="Hyperlink" xfId="5404" builtinId="8" hidden="1"/>
    <cellStyle name="Hyperlink" xfId="5406" builtinId="8" hidden="1"/>
    <cellStyle name="Hyperlink" xfId="5408" builtinId="8" hidden="1"/>
    <cellStyle name="Hyperlink" xfId="5410" builtinId="8" hidden="1"/>
    <cellStyle name="Hyperlink" xfId="5412" builtinId="8" hidden="1"/>
    <cellStyle name="Hyperlink" xfId="5414" builtinId="8" hidden="1"/>
    <cellStyle name="Hyperlink" xfId="5416" builtinId="8" hidden="1"/>
    <cellStyle name="Hyperlink" xfId="5418" builtinId="8" hidden="1"/>
    <cellStyle name="Hyperlink" xfId="5420" builtinId="8" hidden="1"/>
    <cellStyle name="Hyperlink" xfId="5422" builtinId="8" hidden="1"/>
    <cellStyle name="Hyperlink" xfId="5424" builtinId="8" hidden="1"/>
    <cellStyle name="Hyperlink" xfId="5426" builtinId="8" hidden="1"/>
    <cellStyle name="Hyperlink" xfId="5428" builtinId="8" hidden="1"/>
    <cellStyle name="Hyperlink" xfId="5430" builtinId="8" hidden="1"/>
    <cellStyle name="Hyperlink" xfId="5432" builtinId="8" hidden="1"/>
    <cellStyle name="Hyperlink" xfId="5434" builtinId="8" hidden="1"/>
    <cellStyle name="Hyperlink" xfId="5436" builtinId="8" hidden="1"/>
    <cellStyle name="Hyperlink" xfId="5438" builtinId="8" hidden="1"/>
    <cellStyle name="Hyperlink" xfId="5440" builtinId="8" hidden="1"/>
    <cellStyle name="Hyperlink" xfId="5442" builtinId="8" hidden="1"/>
    <cellStyle name="Hyperlink" xfId="5444" builtinId="8" hidden="1"/>
    <cellStyle name="Hyperlink" xfId="5446" builtinId="8" hidden="1"/>
    <cellStyle name="Hyperlink" xfId="5448" builtinId="8" hidden="1"/>
    <cellStyle name="Hyperlink" xfId="5450" builtinId="8" hidden="1"/>
    <cellStyle name="Hyperlink" xfId="5452" builtinId="8" hidden="1"/>
    <cellStyle name="Hyperlink" xfId="5454" builtinId="8" hidden="1"/>
    <cellStyle name="Hyperlink" xfId="5456" builtinId="8" hidden="1"/>
    <cellStyle name="Hyperlink" xfId="5458" builtinId="8" hidden="1"/>
    <cellStyle name="Hyperlink" xfId="5460" builtinId="8" hidden="1"/>
    <cellStyle name="Hyperlink" xfId="5462" builtinId="8" hidden="1"/>
    <cellStyle name="Hyperlink" xfId="5464" builtinId="8" hidden="1"/>
    <cellStyle name="Hyperlink" xfId="5466" builtinId="8" hidden="1"/>
    <cellStyle name="Hyperlink" xfId="5468" builtinId="8" hidden="1"/>
    <cellStyle name="Hyperlink" xfId="5470" builtinId="8" hidden="1"/>
    <cellStyle name="Hyperlink" xfId="5472" builtinId="8" hidden="1"/>
    <cellStyle name="Hyperlink" xfId="5474" builtinId="8" hidden="1"/>
    <cellStyle name="Hyperlink" xfId="5476" builtinId="8" hidden="1"/>
    <cellStyle name="Hyperlink" xfId="5478" builtinId="8" hidden="1"/>
    <cellStyle name="Hyperlink" xfId="5480" builtinId="8" hidden="1"/>
    <cellStyle name="Hyperlink" xfId="5482" builtinId="8" hidden="1"/>
    <cellStyle name="Hyperlink" xfId="5484" builtinId="8" hidden="1"/>
    <cellStyle name="Hyperlink" xfId="5486" builtinId="8" hidden="1"/>
    <cellStyle name="Hyperlink" xfId="5488" builtinId="8" hidden="1"/>
    <cellStyle name="Hyperlink" xfId="5490" builtinId="8" hidden="1"/>
    <cellStyle name="Hyperlink" xfId="5492" builtinId="8" hidden="1"/>
    <cellStyle name="Hyperlink" xfId="5494" builtinId="8" hidden="1"/>
    <cellStyle name="Hyperlink" xfId="5496" builtinId="8" hidden="1"/>
    <cellStyle name="Hyperlink" xfId="5498" builtinId="8" hidden="1"/>
    <cellStyle name="Hyperlink" xfId="5500" builtinId="8" hidden="1"/>
    <cellStyle name="Hyperlink" xfId="5502" builtinId="8" hidden="1"/>
    <cellStyle name="Hyperlink" xfId="5504" builtinId="8" hidden="1"/>
    <cellStyle name="Hyperlink" xfId="5506" builtinId="8" hidden="1"/>
    <cellStyle name="Hyperlink" xfId="5508" builtinId="8" hidden="1"/>
    <cellStyle name="Hyperlink" xfId="5510" builtinId="8" hidden="1"/>
    <cellStyle name="Hyperlink" xfId="5512" builtinId="8" hidden="1"/>
    <cellStyle name="Hyperlink" xfId="5514" builtinId="8" hidden="1"/>
    <cellStyle name="Hyperlink" xfId="5516" builtinId="8" hidden="1"/>
    <cellStyle name="Hyperlink" xfId="5518" builtinId="8" hidden="1"/>
    <cellStyle name="Hyperlink" xfId="5520" builtinId="8" hidden="1"/>
    <cellStyle name="Hyperlink" xfId="5522" builtinId="8" hidden="1"/>
    <cellStyle name="Hyperlink" xfId="5524" builtinId="8" hidden="1"/>
    <cellStyle name="Hyperlink" xfId="5526" builtinId="8" hidden="1"/>
    <cellStyle name="Hyperlink" xfId="5528" builtinId="8" hidden="1"/>
    <cellStyle name="Hyperlink" xfId="5530" builtinId="8" hidden="1"/>
    <cellStyle name="Hyperlink" xfId="5532" builtinId="8" hidden="1"/>
    <cellStyle name="Hyperlink" xfId="5534" builtinId="8" hidden="1"/>
    <cellStyle name="Hyperlink" xfId="5536" builtinId="8" hidden="1"/>
    <cellStyle name="Hyperlink" xfId="5538" builtinId="8" hidden="1"/>
    <cellStyle name="Hyperlink" xfId="5540" builtinId="8" hidden="1"/>
    <cellStyle name="Hyperlink" xfId="5542" builtinId="8" hidden="1"/>
    <cellStyle name="Hyperlink" xfId="5544" builtinId="8" hidden="1"/>
    <cellStyle name="Hyperlink" xfId="5546" builtinId="8" hidden="1"/>
    <cellStyle name="Hyperlink" xfId="5548" builtinId="8" hidden="1"/>
    <cellStyle name="Hyperlink" xfId="5550" builtinId="8" hidden="1"/>
    <cellStyle name="Hyperlink" xfId="5552" builtinId="8" hidden="1"/>
    <cellStyle name="Hyperlink" xfId="5554" builtinId="8" hidden="1"/>
    <cellStyle name="Hyperlink" xfId="5556" builtinId="8" hidden="1"/>
    <cellStyle name="Hyperlink" xfId="5558" builtinId="8" hidden="1"/>
    <cellStyle name="Hyperlink" xfId="5560" builtinId="8" hidden="1"/>
    <cellStyle name="Hyperlink" xfId="5562" builtinId="8" hidden="1"/>
    <cellStyle name="Hyperlink" xfId="5564" builtinId="8" hidden="1"/>
    <cellStyle name="Hyperlink" xfId="5566" builtinId="8" hidden="1"/>
    <cellStyle name="Hyperlink" xfId="5568" builtinId="8" hidden="1"/>
    <cellStyle name="Hyperlink" xfId="5570" builtinId="8" hidden="1"/>
    <cellStyle name="Hyperlink" xfId="5572" builtinId="8" hidden="1"/>
    <cellStyle name="Hyperlink" xfId="5574" builtinId="8" hidden="1"/>
    <cellStyle name="Hyperlink" xfId="5576" builtinId="8" hidden="1"/>
    <cellStyle name="Hyperlink" xfId="5578" builtinId="8" hidden="1"/>
    <cellStyle name="Hyperlink" xfId="5580" builtinId="8" hidden="1"/>
    <cellStyle name="Hyperlink" xfId="5582" builtinId="8" hidden="1"/>
    <cellStyle name="Hyperlink" xfId="5584" builtinId="8" hidden="1"/>
    <cellStyle name="Hyperlink" xfId="5586" builtinId="8" hidden="1"/>
    <cellStyle name="Hyperlink" xfId="5588" builtinId="8" hidden="1"/>
    <cellStyle name="Hyperlink" xfId="5590" builtinId="8" hidden="1"/>
    <cellStyle name="Hyperlink" xfId="5592" builtinId="8" hidden="1"/>
    <cellStyle name="Hyperlink" xfId="5594" builtinId="8" hidden="1"/>
    <cellStyle name="Hyperlink" xfId="5596" builtinId="8" hidden="1"/>
    <cellStyle name="Hyperlink" xfId="5598" builtinId="8" hidden="1"/>
    <cellStyle name="Hyperlink" xfId="5600" builtinId="8" hidden="1"/>
    <cellStyle name="Hyperlink" xfId="5602" builtinId="8" hidden="1"/>
    <cellStyle name="Hyperlink" xfId="5604" builtinId="8" hidden="1"/>
    <cellStyle name="Hyperlink" xfId="5606" builtinId="8" hidden="1"/>
    <cellStyle name="Hyperlink" xfId="5608" builtinId="8" hidden="1"/>
    <cellStyle name="Hyperlink" xfId="5610" builtinId="8" hidden="1"/>
    <cellStyle name="Hyperlink" xfId="5612" builtinId="8" hidden="1"/>
    <cellStyle name="Hyperlink" xfId="5614" builtinId="8" hidden="1"/>
    <cellStyle name="Normal" xfId="0" builtinId="0"/>
    <cellStyle name="Normal 2 9" xfId="144"/>
    <cellStyle name="Normal 4" xfId="5616"/>
    <cellStyle name="Normal_FY04_BAM_Prelim_June11" xfId="142"/>
    <cellStyle name="Normal_FY05_BAM_v023" xfId="143"/>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a:t>Model FY20 </a:t>
            </a:r>
            <a:r>
              <a:rPr lang="en-US" sz="1800" baseline="0"/>
              <a:t> </a:t>
            </a:r>
            <a:r>
              <a:rPr lang="en-US" sz="1800"/>
              <a:t>Allocation (Blue) compared to FY19</a:t>
            </a:r>
            <a:r>
              <a:rPr lang="en-US" sz="1800" baseline="0"/>
              <a:t>Adjusted Initial Budget*</a:t>
            </a:r>
            <a:endParaRPr lang="en-US" sz="1800"/>
          </a:p>
        </c:rich>
      </c:tx>
      <c:layout>
        <c:manualLayout>
          <c:xMode val="edge"/>
          <c:yMode val="edge"/>
          <c:x val="0.26437778484087099"/>
          <c:y val="1.1925042589437799E-2"/>
        </c:manualLayout>
      </c:layout>
      <c:overlay val="0"/>
    </c:title>
    <c:autoTitleDeleted val="0"/>
    <c:plotArea>
      <c:layout/>
      <c:barChart>
        <c:barDir val="col"/>
        <c:grouping val="clustered"/>
        <c:varyColors val="0"/>
        <c:ser>
          <c:idx val="0"/>
          <c:order val="0"/>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Allocation'!$AB$7:$AB$22</c:f>
              <c:numCache>
                <c:formatCode>_(* #,##0_);_(* \(#,##0\);_(* "-"??_);_(@_)</c:formatCode>
                <c:ptCount val="16"/>
                <c:pt idx="0">
                  <c:v>24523970.538359653</c:v>
                </c:pt>
                <c:pt idx="1">
                  <c:v>22524237.091031913</c:v>
                </c:pt>
                <c:pt idx="2">
                  <c:v>68039673.913837895</c:v>
                </c:pt>
                <c:pt idx="3">
                  <c:v>9249724.7562814131</c:v>
                </c:pt>
                <c:pt idx="4">
                  <c:v>20494022.002564568</c:v>
                </c:pt>
                <c:pt idx="5">
                  <c:v>5898671.472228311</c:v>
                </c:pt>
                <c:pt idx="6">
                  <c:v>44576377.858418711</c:v>
                </c:pt>
                <c:pt idx="7">
                  <c:v>17320490.530335311</c:v>
                </c:pt>
                <c:pt idx="8">
                  <c:v>12758189.870759277</c:v>
                </c:pt>
                <c:pt idx="9">
                  <c:v>44927756.725060485</c:v>
                </c:pt>
                <c:pt idx="10">
                  <c:v>27439905.628102593</c:v>
                </c:pt>
                <c:pt idx="11">
                  <c:v>3033568.3660428426</c:v>
                </c:pt>
                <c:pt idx="12">
                  <c:v>965422.26907622605</c:v>
                </c:pt>
                <c:pt idx="13">
                  <c:v>10974383.031738687</c:v>
                </c:pt>
                <c:pt idx="14">
                  <c:v>20828781.916147012</c:v>
                </c:pt>
                <c:pt idx="15">
                  <c:v>5217692.8139594896</c:v>
                </c:pt>
              </c:numCache>
            </c:numRef>
          </c:val>
          <c:extLst>
            <c:ext xmlns:c16="http://schemas.microsoft.com/office/drawing/2014/chart" uri="{C3380CC4-5D6E-409C-BE32-E72D297353CC}">
              <c16:uniqueId val="{00000000-892B-CC47-BEB9-B2ADDACEC43B}"/>
            </c:ext>
          </c:extLst>
        </c:ser>
        <c:ser>
          <c:idx val="1"/>
          <c:order val="1"/>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Allocation'!$AC$7:$AC$22</c:f>
              <c:numCache>
                <c:formatCode>_(* #,##0_);_(* \(#,##0\);_(* "-"??_);_(@_)</c:formatCode>
                <c:ptCount val="16"/>
                <c:pt idx="0">
                  <c:v>23993241</c:v>
                </c:pt>
                <c:pt idx="1">
                  <c:v>21443844</c:v>
                </c:pt>
                <c:pt idx="2">
                  <c:v>67030706</c:v>
                </c:pt>
                <c:pt idx="3">
                  <c:v>9423979</c:v>
                </c:pt>
                <c:pt idx="4">
                  <c:v>20386034</c:v>
                </c:pt>
                <c:pt idx="5">
                  <c:v>5442006</c:v>
                </c:pt>
                <c:pt idx="6">
                  <c:v>44094814</c:v>
                </c:pt>
                <c:pt idx="7">
                  <c:v>18750980</c:v>
                </c:pt>
                <c:pt idx="8">
                  <c:v>12570093</c:v>
                </c:pt>
                <c:pt idx="9">
                  <c:v>43664480</c:v>
                </c:pt>
                <c:pt idx="10">
                  <c:v>26260862</c:v>
                </c:pt>
                <c:pt idx="11">
                  <c:v>2999580</c:v>
                </c:pt>
                <c:pt idx="12">
                  <c:v>957607</c:v>
                </c:pt>
                <c:pt idx="13">
                  <c:v>11507823</c:v>
                </c:pt>
                <c:pt idx="14">
                  <c:v>19821377</c:v>
                </c:pt>
                <c:pt idx="15">
                  <c:v>3440000</c:v>
                </c:pt>
              </c:numCache>
            </c:numRef>
          </c:val>
          <c:extLst>
            <c:ext xmlns:c16="http://schemas.microsoft.com/office/drawing/2014/chart" uri="{C3380CC4-5D6E-409C-BE32-E72D297353CC}">
              <c16:uniqueId val="{00000001-892B-CC47-BEB9-B2ADDACEC43B}"/>
            </c:ext>
          </c:extLst>
        </c:ser>
        <c:dLbls>
          <c:showLegendKey val="0"/>
          <c:showVal val="0"/>
          <c:showCatName val="0"/>
          <c:showSerName val="0"/>
          <c:showPercent val="0"/>
          <c:showBubbleSize val="0"/>
        </c:dLbls>
        <c:gapWidth val="150"/>
        <c:axId val="-1797643024"/>
        <c:axId val="-1795267248"/>
      </c:barChart>
      <c:catAx>
        <c:axId val="-1797643024"/>
        <c:scaling>
          <c:orientation val="minMax"/>
        </c:scaling>
        <c:delete val="0"/>
        <c:axPos val="b"/>
        <c:numFmt formatCode="General" sourceLinked="0"/>
        <c:majorTickMark val="none"/>
        <c:minorTickMark val="none"/>
        <c:tickLblPos val="nextTo"/>
        <c:crossAx val="-1795267248"/>
        <c:crosses val="autoZero"/>
        <c:auto val="1"/>
        <c:lblAlgn val="ctr"/>
        <c:lblOffset val="100"/>
        <c:noMultiLvlLbl val="0"/>
      </c:catAx>
      <c:valAx>
        <c:axId val="-1795267248"/>
        <c:scaling>
          <c:orientation val="minMax"/>
        </c:scaling>
        <c:delete val="0"/>
        <c:axPos val="l"/>
        <c:majorGridlines/>
        <c:numFmt formatCode="_(* #,##0_);_(* \(#,##0\);_(* &quot;-&quot;??_);_(@_)" sourceLinked="1"/>
        <c:majorTickMark val="none"/>
        <c:minorTickMark val="none"/>
        <c:tickLblPos val="nextTo"/>
        <c:crossAx val="-1797643024"/>
        <c:crosses val="autoZero"/>
        <c:crossBetween val="between"/>
      </c:valAx>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Model budget comparisons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'What If Data'!$B$5</c:f>
              <c:strCache>
                <c:ptCount val="1"/>
                <c:pt idx="0">
                  <c:v>Fy17 Adjusted Initial Budget</c:v>
                </c:pt>
              </c:strCache>
            </c:strRef>
          </c:tx>
          <c:spPr>
            <a:solidFill>
              <a:schemeClr val="accent1"/>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Data'!$B$6:$B$20</c:f>
              <c:numCache>
                <c:formatCode>_(* #,##0_);_(* \(#,##0\);_(* "-"??_);_(@_)</c:formatCode>
                <c:ptCount val="15"/>
                <c:pt idx="0" formatCode="_(* #,##0_);_(* \(#,##0\);_(* &quot;-&quot;_);_(@_)">
                  <c:v>22952677</c:v>
                </c:pt>
                <c:pt idx="1">
                  <c:v>20340741</c:v>
                </c:pt>
                <c:pt idx="2">
                  <c:v>14434039</c:v>
                </c:pt>
                <c:pt idx="3" formatCode="_(* #,##0_);_(* \(#,##0\);_(* &quot;-&quot;_);_(@_)">
                  <c:v>43369613</c:v>
                </c:pt>
                <c:pt idx="4">
                  <c:v>4791672</c:v>
                </c:pt>
                <c:pt idx="5">
                  <c:v>57240954</c:v>
                </c:pt>
                <c:pt idx="6" formatCode="_(* #,##0_);_(* \(#,##0\);_(* &quot;-&quot;_);_(@_)">
                  <c:v>8833735</c:v>
                </c:pt>
                <c:pt idx="7">
                  <c:v>12573591</c:v>
                </c:pt>
                <c:pt idx="8">
                  <c:v>19991639</c:v>
                </c:pt>
                <c:pt idx="9" formatCode="_(* #,##0_);_(* \(#,##0\);_(* &quot;-&quot;_);_(@_)">
                  <c:v>40678621</c:v>
                </c:pt>
                <c:pt idx="10">
                  <c:v>24513720</c:v>
                </c:pt>
                <c:pt idx="12" formatCode="_(* #,##0_);_(* \(#,##0\);_(* &quot;-&quot;_);_(@_)">
                  <c:v>2438816</c:v>
                </c:pt>
                <c:pt idx="13">
                  <c:v>11252786</c:v>
                </c:pt>
                <c:pt idx="14">
                  <c:v>823212</c:v>
                </c:pt>
              </c:numCache>
            </c:numRef>
          </c:val>
          <c:extLst>
            <c:ext xmlns:c16="http://schemas.microsoft.com/office/drawing/2014/chart" uri="{C3380CC4-5D6E-409C-BE32-E72D297353CC}">
              <c16:uniqueId val="{00000000-6A87-CC40-9DC5-FF9883C9AE2C}"/>
            </c:ext>
          </c:extLst>
        </c:ser>
        <c:ser>
          <c:idx val="1"/>
          <c:order val="1"/>
          <c:tx>
            <c:strRef>
              <c:f>'What If Data'!$C$5</c:f>
              <c:strCache>
                <c:ptCount val="1"/>
                <c:pt idx="0">
                  <c:v>Actual FY18 Budget</c:v>
                </c:pt>
              </c:strCache>
            </c:strRef>
          </c:tx>
          <c:spPr>
            <a:solidFill>
              <a:schemeClr val="accent2"/>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Data'!$C$6:$C$20</c:f>
              <c:numCache>
                <c:formatCode>_(* #,##0_);_(* \(#,##0\);_(* "-"??_);_(@_)</c:formatCode>
                <c:ptCount val="15"/>
                <c:pt idx="0" formatCode="_(* #,##0_);_(* \(#,##0\);_(* &quot;-&quot;_);_(@_)">
                  <c:v>24160078</c:v>
                </c:pt>
                <c:pt idx="1">
                  <c:v>20462422</c:v>
                </c:pt>
                <c:pt idx="2">
                  <c:v>14831995</c:v>
                </c:pt>
                <c:pt idx="3" formatCode="_(* #,##0_);_(* \(#,##0\);_(* &quot;-&quot;_);_(@_)">
                  <c:v>45894131</c:v>
                </c:pt>
                <c:pt idx="4">
                  <c:v>4806568</c:v>
                </c:pt>
                <c:pt idx="5">
                  <c:v>61306607</c:v>
                </c:pt>
                <c:pt idx="6" formatCode="_(* #,##0_);_(* \(#,##0\);_(* &quot;-&quot;_);_(@_)">
                  <c:v>9355600</c:v>
                </c:pt>
                <c:pt idx="7">
                  <c:v>12737398</c:v>
                </c:pt>
                <c:pt idx="8">
                  <c:v>20440194</c:v>
                </c:pt>
                <c:pt idx="9" formatCode="_(* #,##0_);_(* \(#,##0\);_(* &quot;-&quot;_);_(@_)">
                  <c:v>41127158</c:v>
                </c:pt>
                <c:pt idx="10">
                  <c:v>24909417</c:v>
                </c:pt>
                <c:pt idx="12" formatCode="_(* #,##0_);_(* \(#,##0\);_(* &quot;-&quot;_);_(@_)">
                  <c:v>2839964</c:v>
                </c:pt>
                <c:pt idx="13">
                  <c:v>11354618</c:v>
                </c:pt>
                <c:pt idx="14">
                  <c:v>833083</c:v>
                </c:pt>
              </c:numCache>
            </c:numRef>
          </c:val>
          <c:extLst>
            <c:ext xmlns:c16="http://schemas.microsoft.com/office/drawing/2014/chart" uri="{C3380CC4-5D6E-409C-BE32-E72D297353CC}">
              <c16:uniqueId val="{00000001-6A87-CC40-9DC5-FF9883C9AE2C}"/>
            </c:ext>
          </c:extLst>
        </c:ser>
        <c:ser>
          <c:idx val="2"/>
          <c:order val="2"/>
          <c:tx>
            <c:strRef>
              <c:f>'What If Data'!$D$5</c:f>
              <c:strCache>
                <c:ptCount val="1"/>
                <c:pt idx="0">
                  <c:v>Original FY18 Model Budget</c:v>
                </c:pt>
              </c:strCache>
            </c:strRef>
          </c:tx>
          <c:spPr>
            <a:solidFill>
              <a:schemeClr val="accent3"/>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Data'!$D$6:$D$20</c:f>
              <c:numCache>
                <c:formatCode>_(* #,##0_);_(* \(#,##0\);_(* "-"??_);_(@_)</c:formatCode>
                <c:ptCount val="15"/>
                <c:pt idx="0" formatCode="_(* #,##0_);_(* \(#,##0\);_(* &quot;-&quot;_);_(@_)">
                  <c:v>25001758.759312462</c:v>
                </c:pt>
                <c:pt idx="1">
                  <c:v>20285337.772514664</c:v>
                </c:pt>
                <c:pt idx="2">
                  <c:v>14741202.939066634</c:v>
                </c:pt>
                <c:pt idx="3" formatCode="_(* #,##0_);_(* \(#,##0\);_(* &quot;-&quot;_);_(@_)">
                  <c:v>45922829.802812383</c:v>
                </c:pt>
                <c:pt idx="4">
                  <c:v>4830007.8363892129</c:v>
                </c:pt>
                <c:pt idx="5">
                  <c:v>64222078.737047724</c:v>
                </c:pt>
                <c:pt idx="6" formatCode="_(* #,##0_);_(* \(#,##0\);_(* &quot;-&quot;_);_(@_)">
                  <c:v>9346906.6282929424</c:v>
                </c:pt>
                <c:pt idx="7">
                  <c:v>12673049.798480507</c:v>
                </c:pt>
                <c:pt idx="8">
                  <c:v>19856321.585655142</c:v>
                </c:pt>
                <c:pt idx="9" formatCode="_(* #,##0_);_(* \(#,##0\);_(* &quot;-&quot;_);_(@_)">
                  <c:v>41762479.565978713</c:v>
                </c:pt>
                <c:pt idx="10">
                  <c:v>24861945.565714028</c:v>
                </c:pt>
                <c:pt idx="12" formatCode="_(* #,##0_);_(* \(#,##0\);_(* &quot;-&quot;_);_(@_)">
                  <c:v>3076862.3114752835</c:v>
                </c:pt>
                <c:pt idx="13">
                  <c:v>11331878.453987531</c:v>
                </c:pt>
                <c:pt idx="14">
                  <c:v>1185279.7481987444</c:v>
                </c:pt>
              </c:numCache>
            </c:numRef>
          </c:val>
          <c:extLst>
            <c:ext xmlns:c16="http://schemas.microsoft.com/office/drawing/2014/chart" uri="{C3380CC4-5D6E-409C-BE32-E72D297353CC}">
              <c16:uniqueId val="{00000002-6A87-CC40-9DC5-FF9883C9AE2C}"/>
            </c:ext>
          </c:extLst>
        </c:ser>
        <c:ser>
          <c:idx val="3"/>
          <c:order val="3"/>
          <c:tx>
            <c:strRef>
              <c:f>'What If Data'!$E$5</c:f>
              <c:strCache>
                <c:ptCount val="1"/>
                <c:pt idx="0">
                  <c:v>Adjusted FY18 Model Budget</c:v>
                </c:pt>
              </c:strCache>
            </c:strRef>
          </c:tx>
          <c:spPr>
            <a:solidFill>
              <a:schemeClr val="accent4"/>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Data'!$E$6:$E$20</c:f>
              <c:numCache>
                <c:formatCode>_(* #,##0_);_(* \(#,##0\);_(* "-"??_);_(@_)</c:formatCode>
                <c:ptCount val="15"/>
                <c:pt idx="0" formatCode="_(* #,##0_);_(* \(#,##0\);_(* &quot;-&quot;_);_(@_)">
                  <c:v>24523970.538359653</c:v>
                </c:pt>
                <c:pt idx="1">
                  <c:v>22524237.091031913</c:v>
                </c:pt>
                <c:pt idx="2">
                  <c:v>17320490.530335311</c:v>
                </c:pt>
                <c:pt idx="3" formatCode="_(* #,##0_);_(* \(#,##0\);_(* &quot;-&quot;_);_(@_)">
                  <c:v>44576377.858418711</c:v>
                </c:pt>
                <c:pt idx="4">
                  <c:v>5898671.472228311</c:v>
                </c:pt>
                <c:pt idx="5">
                  <c:v>68039673.913837895</c:v>
                </c:pt>
                <c:pt idx="6" formatCode="_(* #,##0_);_(* \(#,##0\);_(* &quot;-&quot;_);_(@_)">
                  <c:v>9249724.7562814131</c:v>
                </c:pt>
                <c:pt idx="7">
                  <c:v>12758189.870759277</c:v>
                </c:pt>
                <c:pt idx="8">
                  <c:v>20494022.002564568</c:v>
                </c:pt>
                <c:pt idx="9" formatCode="_(* #,##0_);_(* \(#,##0\);_(* &quot;-&quot;_);_(@_)">
                  <c:v>44927756.725060485</c:v>
                </c:pt>
                <c:pt idx="10">
                  <c:v>27439905.628102593</c:v>
                </c:pt>
                <c:pt idx="12" formatCode="_(* #,##0_);_(* \(#,##0\);_(* &quot;-&quot;_);_(@_)">
                  <c:v>3033568.3660428426</c:v>
                </c:pt>
                <c:pt idx="13">
                  <c:v>10974383.031738687</c:v>
                </c:pt>
                <c:pt idx="14">
                  <c:v>965422.26907622605</c:v>
                </c:pt>
              </c:numCache>
            </c:numRef>
          </c:val>
          <c:extLst>
            <c:ext xmlns:c16="http://schemas.microsoft.com/office/drawing/2014/chart" uri="{C3380CC4-5D6E-409C-BE32-E72D297353CC}">
              <c16:uniqueId val="{00000003-6A87-CC40-9DC5-FF9883C9AE2C}"/>
            </c:ext>
          </c:extLst>
        </c:ser>
        <c:dLbls>
          <c:showLegendKey val="0"/>
          <c:showVal val="0"/>
          <c:showCatName val="0"/>
          <c:showSerName val="0"/>
          <c:showPercent val="0"/>
          <c:showBubbleSize val="0"/>
        </c:dLbls>
        <c:gapWidth val="219"/>
        <c:overlap val="-27"/>
        <c:axId val="-1797553440"/>
        <c:axId val="-1797550176"/>
      </c:barChart>
      <c:catAx>
        <c:axId val="-179755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550176"/>
        <c:crosses val="autoZero"/>
        <c:auto val="1"/>
        <c:lblAlgn val="ctr"/>
        <c:lblOffset val="100"/>
        <c:noMultiLvlLbl val="0"/>
      </c:catAx>
      <c:valAx>
        <c:axId val="-179755017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553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Dollar Change from original FY18 Model budget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'What If Data'!$F$5</c:f>
              <c:strCache>
                <c:ptCount val="1"/>
                <c:pt idx="0">
                  <c:v>Change</c:v>
                </c:pt>
              </c:strCache>
            </c:strRef>
          </c:tx>
          <c:spPr>
            <a:solidFill>
              <a:schemeClr val="accent1"/>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Data'!$F$6:$F$20</c:f>
              <c:numCache>
                <c:formatCode>_(* #,##0_);_(* \(#,##0\);_(* "-"??_);_(@_)</c:formatCode>
                <c:ptCount val="15"/>
                <c:pt idx="0" formatCode="_(* #,##0_);_(* \(#,##0\);_(* &quot;-&quot;_);_(@_)">
                  <c:v>-477788.22095280886</c:v>
                </c:pt>
                <c:pt idx="1">
                  <c:v>2238899.3185172491</c:v>
                </c:pt>
                <c:pt idx="2">
                  <c:v>2579287.5912686773</c:v>
                </c:pt>
                <c:pt idx="3" formatCode="_(* #,##0_);_(* \(#,##0\);_(* &quot;-&quot;_);_(@_)">
                  <c:v>-1346451.944393672</c:v>
                </c:pt>
                <c:pt idx="4">
                  <c:v>1068663.6358390981</c:v>
                </c:pt>
                <c:pt idx="5">
                  <c:v>3817595.1767901704</c:v>
                </c:pt>
                <c:pt idx="6" formatCode="_(* #,##0_);_(* \(#,##0\);_(* &quot;-&quot;_);_(@_)">
                  <c:v>-97181.872011529282</c:v>
                </c:pt>
                <c:pt idx="7">
                  <c:v>85140.072278769687</c:v>
                </c:pt>
                <c:pt idx="8">
                  <c:v>637700.41690942645</c:v>
                </c:pt>
                <c:pt idx="9" formatCode="_(* #,##0_);_(* \(#,##0\);_(* &quot;-&quot;_);_(@_)">
                  <c:v>3165277.159081772</c:v>
                </c:pt>
                <c:pt idx="10">
                  <c:v>2577960.0623885654</c:v>
                </c:pt>
                <c:pt idx="12" formatCode="_(* #,##0_);_(* \(#,##0\);_(* &quot;-&quot;_);_(@_)">
                  <c:v>-43293.945432440843</c:v>
                </c:pt>
                <c:pt idx="13">
                  <c:v>-357495.42224884406</c:v>
                </c:pt>
                <c:pt idx="14">
                  <c:v>-219857.47912251833</c:v>
                </c:pt>
              </c:numCache>
            </c:numRef>
          </c:val>
          <c:extLst>
            <c:ext xmlns:c16="http://schemas.microsoft.com/office/drawing/2014/chart" uri="{C3380CC4-5D6E-409C-BE32-E72D297353CC}">
              <c16:uniqueId val="{00000000-3565-D143-A4B5-314D49B4A4F8}"/>
            </c:ext>
          </c:extLst>
        </c:ser>
        <c:dLbls>
          <c:showLegendKey val="0"/>
          <c:showVal val="0"/>
          <c:showCatName val="0"/>
          <c:showSerName val="0"/>
          <c:showPercent val="0"/>
          <c:showBubbleSize val="0"/>
        </c:dLbls>
        <c:gapWidth val="219"/>
        <c:overlap val="-27"/>
        <c:axId val="-1797529808"/>
        <c:axId val="-1797527056"/>
      </c:barChart>
      <c:catAx>
        <c:axId val="-179752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527056"/>
        <c:crosses val="autoZero"/>
        <c:auto val="1"/>
        <c:lblAlgn val="ctr"/>
        <c:lblOffset val="100"/>
        <c:noMultiLvlLbl val="0"/>
      </c:catAx>
      <c:valAx>
        <c:axId val="-17975270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52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FY19 Initial BudgetMinus</a:t>
            </a:r>
            <a:r>
              <a:rPr lang="en-US" baseline="0"/>
              <a:t> FY18 Adjusted Initial Budget</a:t>
            </a:r>
          </a:p>
        </c:rich>
      </c:tx>
      <c:overlay val="0"/>
    </c:title>
    <c:autoTitleDeleted val="0"/>
    <c:plotArea>
      <c:layout/>
      <c:barChart>
        <c:barDir val="col"/>
        <c:grouping val="clustered"/>
        <c:varyColors val="0"/>
        <c:ser>
          <c:idx val="0"/>
          <c:order val="0"/>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Allocation'!$AD$7:$AD$22</c:f>
              <c:numCache>
                <c:formatCode>_(* #,##0_);_(* \(#,##0\);_(* "-"??_);_(@_)</c:formatCode>
                <c:ptCount val="16"/>
                <c:pt idx="0">
                  <c:v>530729.5383596532</c:v>
                </c:pt>
                <c:pt idx="1">
                  <c:v>1080393.0910319127</c:v>
                </c:pt>
                <c:pt idx="2">
                  <c:v>1008967.9138378948</c:v>
                </c:pt>
                <c:pt idx="3">
                  <c:v>-174254.24371858686</c:v>
                </c:pt>
                <c:pt idx="4">
                  <c:v>107988.00256456807</c:v>
                </c:pt>
                <c:pt idx="5">
                  <c:v>456665.472228311</c:v>
                </c:pt>
                <c:pt idx="6">
                  <c:v>481563.85841871053</c:v>
                </c:pt>
                <c:pt idx="7">
                  <c:v>-1430489.4696646892</c:v>
                </c:pt>
                <c:pt idx="8">
                  <c:v>188096.87075927667</c:v>
                </c:pt>
                <c:pt idx="9">
                  <c:v>1263276.7250604853</c:v>
                </c:pt>
                <c:pt idx="10">
                  <c:v>1179043.6281025931</c:v>
                </c:pt>
                <c:pt idx="11">
                  <c:v>33988.366042842623</c:v>
                </c:pt>
                <c:pt idx="12">
                  <c:v>7815.2690762260463</c:v>
                </c:pt>
                <c:pt idx="13">
                  <c:v>-533439.96826131269</c:v>
                </c:pt>
                <c:pt idx="14">
                  <c:v>1007404.9161470123</c:v>
                </c:pt>
                <c:pt idx="15">
                  <c:v>1777692.8139594896</c:v>
                </c:pt>
              </c:numCache>
            </c:numRef>
          </c:val>
          <c:extLst>
            <c:ext xmlns:c16="http://schemas.microsoft.com/office/drawing/2014/chart" uri="{C3380CC4-5D6E-409C-BE32-E72D297353CC}">
              <c16:uniqueId val="{00000000-3889-E84E-BC21-5084553731A0}"/>
            </c:ext>
          </c:extLst>
        </c:ser>
        <c:dLbls>
          <c:showLegendKey val="0"/>
          <c:showVal val="0"/>
          <c:showCatName val="0"/>
          <c:showSerName val="0"/>
          <c:showPercent val="0"/>
          <c:showBubbleSize val="0"/>
        </c:dLbls>
        <c:gapWidth val="150"/>
        <c:axId val="-1795243280"/>
        <c:axId val="-1795240528"/>
      </c:barChart>
      <c:catAx>
        <c:axId val="-1795243280"/>
        <c:scaling>
          <c:orientation val="minMax"/>
        </c:scaling>
        <c:delete val="0"/>
        <c:axPos val="b"/>
        <c:numFmt formatCode="General" sourceLinked="0"/>
        <c:majorTickMark val="out"/>
        <c:minorTickMark val="none"/>
        <c:tickLblPos val="nextTo"/>
        <c:crossAx val="-1795240528"/>
        <c:crosses val="autoZero"/>
        <c:auto val="1"/>
        <c:lblAlgn val="ctr"/>
        <c:lblOffset val="100"/>
        <c:noMultiLvlLbl val="0"/>
      </c:catAx>
      <c:valAx>
        <c:axId val="-1795240528"/>
        <c:scaling>
          <c:orientation val="minMax"/>
        </c:scaling>
        <c:delete val="0"/>
        <c:axPos val="l"/>
        <c:majorGridlines/>
        <c:numFmt formatCode="_(* #,##0_);_(* \(#,##0\);_(* &quot;-&quot;??_);_(@_)" sourceLinked="1"/>
        <c:majorTickMark val="out"/>
        <c:minorTickMark val="none"/>
        <c:tickLblPos val="nextTo"/>
        <c:crossAx val="-1795243280"/>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'Service and Support Allocation'!$AA$32:$AA$53</c:f>
              <c:strCache>
                <c:ptCount val="22"/>
                <c:pt idx="0">
                  <c:v>    Summer Session</c:v>
                </c:pt>
                <c:pt idx="1">
                  <c:v>    International Programs </c:v>
                </c:pt>
                <c:pt idx="2">
                  <c:v>    University Libraries</c:v>
                </c:pt>
                <c:pt idx="3">
                  <c:v>    Office of the President</c:v>
                </c:pt>
                <c:pt idx="4">
                  <c:v>Athletics</c:v>
                </c:pt>
                <c:pt idx="5">
                  <c:v>    University Relations &amp; Marketing</c:v>
                </c:pt>
                <c:pt idx="6">
                  <c:v>    Provost</c:v>
                </c:pt>
                <c:pt idx="7">
                  <c:v>    Provost - Pass-through</c:v>
                </c:pt>
                <c:pt idx="8">
                  <c:v>    Enrollment Management</c:v>
                </c:pt>
                <c:pt idx="9">
                  <c:v>Undergraduate Studies</c:v>
                </c:pt>
                <c:pt idx="10">
                  <c:v>    Academic Affairs</c:v>
                </c:pt>
                <c:pt idx="11">
                  <c:v>    Information Services </c:v>
                </c:pt>
                <c:pt idx="12">
                  <c:v>    Graduate SchoolAdministration</c:v>
                </c:pt>
                <c:pt idx="13">
                  <c:v>    Outreach &amp; Engagement</c:v>
                </c:pt>
                <c:pt idx="14">
                  <c:v>    Research Administration</c:v>
                </c:pt>
                <c:pt idx="15">
                  <c:v>    Student Affairs</c:v>
                </c:pt>
                <c:pt idx="16">
                  <c:v>    University Business Centers    </c:v>
                </c:pt>
                <c:pt idx="17">
                  <c:v>    Finance and Administration</c:v>
                </c:pt>
                <c:pt idx="18">
                  <c:v>    Facilities Services</c:v>
                </c:pt>
                <c:pt idx="19">
                  <c:v>    Risk Management</c:v>
                </c:pt>
                <c:pt idx="20">
                  <c:v>Capital Planning and Development</c:v>
                </c:pt>
                <c:pt idx="21">
                  <c:v>    Energy Operations</c:v>
                </c:pt>
              </c:strCache>
            </c:strRef>
          </c:cat>
          <c:val>
            <c:numRef>
              <c:f>'Service and Support Allocation'!$AB$32:$AB$53</c:f>
              <c:numCache>
                <c:formatCode>_(* #,##0_);_(* \(#,##0\);_(* "-"??_);_(@_)</c:formatCode>
                <c:ptCount val="22"/>
                <c:pt idx="0">
                  <c:v>0</c:v>
                </c:pt>
                <c:pt idx="1">
                  <c:v>806264.00190416421</c:v>
                </c:pt>
                <c:pt idx="2">
                  <c:v>15181209.347695021</c:v>
                </c:pt>
                <c:pt idx="3">
                  <c:v>8903102.0813306831</c:v>
                </c:pt>
                <c:pt idx="4">
                  <c:v>7750000</c:v>
                </c:pt>
                <c:pt idx="5">
                  <c:v>4172099.1749395677</c:v>
                </c:pt>
                <c:pt idx="6">
                  <c:v>987144.4159962415</c:v>
                </c:pt>
                <c:pt idx="7">
                  <c:v>2925680.0766603597</c:v>
                </c:pt>
                <c:pt idx="8">
                  <c:v>11011750.440794896</c:v>
                </c:pt>
                <c:pt idx="9">
                  <c:v>5167746.3275012206</c:v>
                </c:pt>
                <c:pt idx="10">
                  <c:v>2096449.9172718124</c:v>
                </c:pt>
                <c:pt idx="11">
                  <c:v>24839940.297978781</c:v>
                </c:pt>
                <c:pt idx="12">
                  <c:v>4832776.9373151492</c:v>
                </c:pt>
                <c:pt idx="13">
                  <c:v>1532291.4051178966</c:v>
                </c:pt>
                <c:pt idx="14">
                  <c:v>8081657.1571420729</c:v>
                </c:pt>
                <c:pt idx="15">
                  <c:v>12451020.701590529</c:v>
                </c:pt>
                <c:pt idx="16">
                  <c:v>13530092.502434809</c:v>
                </c:pt>
                <c:pt idx="17">
                  <c:v>30873619.349242069</c:v>
                </c:pt>
                <c:pt idx="18">
                  <c:v>28317453.53944831</c:v>
                </c:pt>
                <c:pt idx="19">
                  <c:v>0</c:v>
                </c:pt>
                <c:pt idx="20">
                  <c:v>869615.4689932483</c:v>
                </c:pt>
                <c:pt idx="21">
                  <c:v>4412336.8920480274</c:v>
                </c:pt>
              </c:numCache>
            </c:numRef>
          </c:val>
          <c:extLst>
            <c:ext xmlns:c16="http://schemas.microsoft.com/office/drawing/2014/chart" uri="{C3380CC4-5D6E-409C-BE32-E72D297353CC}">
              <c16:uniqueId val="{00000000-A976-7E4B-9B88-E54176E979A4}"/>
            </c:ext>
          </c:extLst>
        </c:ser>
        <c:ser>
          <c:idx val="1"/>
          <c:order val="1"/>
          <c:invertIfNegative val="0"/>
          <c:cat>
            <c:strRef>
              <c:f>'Service and Support Allocation'!$AA$32:$AA$53</c:f>
              <c:strCache>
                <c:ptCount val="22"/>
                <c:pt idx="0">
                  <c:v>    Summer Session</c:v>
                </c:pt>
                <c:pt idx="1">
                  <c:v>    International Programs </c:v>
                </c:pt>
                <c:pt idx="2">
                  <c:v>    University Libraries</c:v>
                </c:pt>
                <c:pt idx="3">
                  <c:v>    Office of the President</c:v>
                </c:pt>
                <c:pt idx="4">
                  <c:v>Athletics</c:v>
                </c:pt>
                <c:pt idx="5">
                  <c:v>    University Relations &amp; Marketing</c:v>
                </c:pt>
                <c:pt idx="6">
                  <c:v>    Provost</c:v>
                </c:pt>
                <c:pt idx="7">
                  <c:v>    Provost - Pass-through</c:v>
                </c:pt>
                <c:pt idx="8">
                  <c:v>    Enrollment Management</c:v>
                </c:pt>
                <c:pt idx="9">
                  <c:v>Undergraduate Studies</c:v>
                </c:pt>
                <c:pt idx="10">
                  <c:v>    Academic Affairs</c:v>
                </c:pt>
                <c:pt idx="11">
                  <c:v>    Information Services </c:v>
                </c:pt>
                <c:pt idx="12">
                  <c:v>    Graduate SchoolAdministration</c:v>
                </c:pt>
                <c:pt idx="13">
                  <c:v>    Outreach &amp; Engagement</c:v>
                </c:pt>
                <c:pt idx="14">
                  <c:v>    Research Administration</c:v>
                </c:pt>
                <c:pt idx="15">
                  <c:v>    Student Affairs</c:v>
                </c:pt>
                <c:pt idx="16">
                  <c:v>    University Business Centers    </c:v>
                </c:pt>
                <c:pt idx="17">
                  <c:v>    Finance and Administration</c:v>
                </c:pt>
                <c:pt idx="18">
                  <c:v>    Facilities Services</c:v>
                </c:pt>
                <c:pt idx="19">
                  <c:v>    Risk Management</c:v>
                </c:pt>
                <c:pt idx="20">
                  <c:v>Capital Planning and Development</c:v>
                </c:pt>
                <c:pt idx="21">
                  <c:v>    Energy Operations</c:v>
                </c:pt>
              </c:strCache>
            </c:strRef>
          </c:cat>
          <c:val>
            <c:numRef>
              <c:f>'Service and Support Allocation'!$AC$32:$AC$53</c:f>
              <c:numCache>
                <c:formatCode>_(* #,##0_);_(* \(#,##0\);_(* "-"??_);_(@_)</c:formatCode>
                <c:ptCount val="22"/>
                <c:pt idx="0">
                  <c:v>0</c:v>
                </c:pt>
                <c:pt idx="1">
                  <c:v>816537</c:v>
                </c:pt>
                <c:pt idx="2">
                  <c:v>14975151</c:v>
                </c:pt>
                <c:pt idx="3">
                  <c:v>8919523</c:v>
                </c:pt>
                <c:pt idx="4">
                  <c:v>7177760</c:v>
                </c:pt>
                <c:pt idx="5">
                  <c:v>4081953</c:v>
                </c:pt>
                <c:pt idx="6">
                  <c:v>1512825</c:v>
                </c:pt>
                <c:pt idx="7">
                  <c:v>2951197</c:v>
                </c:pt>
                <c:pt idx="8">
                  <c:v>10531320</c:v>
                </c:pt>
                <c:pt idx="9">
                  <c:v>6381261</c:v>
                </c:pt>
                <c:pt idx="10">
                  <c:v>1904613</c:v>
                </c:pt>
                <c:pt idx="11">
                  <c:v>23770557</c:v>
                </c:pt>
                <c:pt idx="12">
                  <c:v>4978877</c:v>
                </c:pt>
                <c:pt idx="13">
                  <c:v>1507856</c:v>
                </c:pt>
                <c:pt idx="14">
                  <c:v>7933343</c:v>
                </c:pt>
                <c:pt idx="15">
                  <c:v>13396050</c:v>
                </c:pt>
                <c:pt idx="16">
                  <c:v>13613698</c:v>
                </c:pt>
                <c:pt idx="17">
                  <c:v>30168812</c:v>
                </c:pt>
                <c:pt idx="18">
                  <c:v>18588968</c:v>
                </c:pt>
                <c:pt idx="19">
                  <c:v>0</c:v>
                </c:pt>
                <c:pt idx="20">
                  <c:v>2400967</c:v>
                </c:pt>
                <c:pt idx="21">
                  <c:v>12293440</c:v>
                </c:pt>
              </c:numCache>
            </c:numRef>
          </c:val>
          <c:extLst>
            <c:ext xmlns:c16="http://schemas.microsoft.com/office/drawing/2014/chart" uri="{C3380CC4-5D6E-409C-BE32-E72D297353CC}">
              <c16:uniqueId val="{00000001-A976-7E4B-9B88-E54176E979A4}"/>
            </c:ext>
          </c:extLst>
        </c:ser>
        <c:dLbls>
          <c:showLegendKey val="0"/>
          <c:showVal val="0"/>
          <c:showCatName val="0"/>
          <c:showSerName val="0"/>
          <c:showPercent val="0"/>
          <c:showBubbleSize val="0"/>
        </c:dLbls>
        <c:gapWidth val="150"/>
        <c:axId val="-1795204768"/>
        <c:axId val="-1795202016"/>
      </c:barChart>
      <c:catAx>
        <c:axId val="-1795204768"/>
        <c:scaling>
          <c:orientation val="minMax"/>
        </c:scaling>
        <c:delete val="0"/>
        <c:axPos val="b"/>
        <c:numFmt formatCode="General" sourceLinked="0"/>
        <c:majorTickMark val="out"/>
        <c:minorTickMark val="none"/>
        <c:tickLblPos val="nextTo"/>
        <c:crossAx val="-1795202016"/>
        <c:crosses val="autoZero"/>
        <c:auto val="1"/>
        <c:lblAlgn val="ctr"/>
        <c:lblOffset val="100"/>
        <c:noMultiLvlLbl val="0"/>
      </c:catAx>
      <c:valAx>
        <c:axId val="-1795202016"/>
        <c:scaling>
          <c:orientation val="minMax"/>
        </c:scaling>
        <c:delete val="0"/>
        <c:axPos val="l"/>
        <c:majorGridlines/>
        <c:numFmt formatCode="_(* #,##0_);_(* \(#,##0\);_(* &quot;-&quot;??_);_(@_)" sourceLinked="1"/>
        <c:majorTickMark val="out"/>
        <c:minorTickMark val="none"/>
        <c:tickLblPos val="nextTo"/>
        <c:crossAx val="-1795204768"/>
        <c:crosses val="autoZero"/>
        <c:crossBetween val="between"/>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FY19 Initial Budget minus FY18 Initial</a:t>
            </a:r>
            <a:r>
              <a:rPr lang="en-US" baseline="0"/>
              <a:t> Adjusted Budget</a:t>
            </a:r>
          </a:p>
        </c:rich>
      </c:tx>
      <c:overlay val="0"/>
    </c:title>
    <c:autoTitleDeleted val="0"/>
    <c:plotArea>
      <c:layout/>
      <c:barChart>
        <c:barDir val="col"/>
        <c:grouping val="clustered"/>
        <c:varyColors val="0"/>
        <c:ser>
          <c:idx val="0"/>
          <c:order val="0"/>
          <c:invertIfNegative val="0"/>
          <c:cat>
            <c:strRef>
              <c:f>'Service and Support Allocation'!$AA$35:$AA$53</c:f>
              <c:strCache>
                <c:ptCount val="19"/>
                <c:pt idx="0">
                  <c:v>    Office of the President</c:v>
                </c:pt>
                <c:pt idx="1">
                  <c:v>Athletics</c:v>
                </c:pt>
                <c:pt idx="2">
                  <c:v>    University Relations &amp; Marketing</c:v>
                </c:pt>
                <c:pt idx="3">
                  <c:v>    Provost</c:v>
                </c:pt>
                <c:pt idx="4">
                  <c:v>    Provost - Pass-through</c:v>
                </c:pt>
                <c:pt idx="5">
                  <c:v>    Enrollment Management</c:v>
                </c:pt>
                <c:pt idx="6">
                  <c:v>Undergraduate Studies</c:v>
                </c:pt>
                <c:pt idx="7">
                  <c:v>    Academic Affairs</c:v>
                </c:pt>
                <c:pt idx="8">
                  <c:v>    Information Services </c:v>
                </c:pt>
                <c:pt idx="9">
                  <c:v>    Graduate SchoolAdministration</c:v>
                </c:pt>
                <c:pt idx="10">
                  <c:v>    Outreach &amp; Engagement</c:v>
                </c:pt>
                <c:pt idx="11">
                  <c:v>    Research Administration</c:v>
                </c:pt>
                <c:pt idx="12">
                  <c:v>    Student Affairs</c:v>
                </c:pt>
                <c:pt idx="13">
                  <c:v>    University Business Centers    </c:v>
                </c:pt>
                <c:pt idx="14">
                  <c:v>    Finance and Administration</c:v>
                </c:pt>
                <c:pt idx="15">
                  <c:v>    Facilities Services</c:v>
                </c:pt>
                <c:pt idx="16">
                  <c:v>    Risk Management</c:v>
                </c:pt>
                <c:pt idx="17">
                  <c:v>Capital Planning and Development</c:v>
                </c:pt>
                <c:pt idx="18">
                  <c:v>    Energy Operations</c:v>
                </c:pt>
              </c:strCache>
            </c:strRef>
          </c:cat>
          <c:val>
            <c:numRef>
              <c:f>'Service and Support Allocation'!$AD$35:$AD$53</c:f>
              <c:numCache>
                <c:formatCode>_(* #,##0_);_(* \(#,##0\);_(* "-"??_);_(@_)</c:formatCode>
                <c:ptCount val="19"/>
                <c:pt idx="0">
                  <c:v>-16420.918669316918</c:v>
                </c:pt>
                <c:pt idx="2">
                  <c:v>90146.174939567689</c:v>
                </c:pt>
                <c:pt idx="3">
                  <c:v>-525680.5840037585</c:v>
                </c:pt>
                <c:pt idx="4">
                  <c:v>-25516.923339640256</c:v>
                </c:pt>
                <c:pt idx="5">
                  <c:v>480430.44079489633</c:v>
                </c:pt>
                <c:pt idx="6">
                  <c:v>-1213514.6724987794</c:v>
                </c:pt>
                <c:pt idx="7">
                  <c:v>191836.91727181245</c:v>
                </c:pt>
                <c:pt idx="8">
                  <c:v>1069383.2979787812</c:v>
                </c:pt>
                <c:pt idx="9">
                  <c:v>-146100.06268485077</c:v>
                </c:pt>
                <c:pt idx="10">
                  <c:v>24435.405117896618</c:v>
                </c:pt>
                <c:pt idx="11">
                  <c:v>148314.15714207292</c:v>
                </c:pt>
                <c:pt idx="12">
                  <c:v>-945029.29840947129</c:v>
                </c:pt>
                <c:pt idx="13">
                  <c:v>-83605.497565191239</c:v>
                </c:pt>
                <c:pt idx="14">
                  <c:v>704807.34924206883</c:v>
                </c:pt>
                <c:pt idx="15">
                  <c:v>9728485.5394483097</c:v>
                </c:pt>
                <c:pt idx="16">
                  <c:v>0</c:v>
                </c:pt>
                <c:pt idx="17">
                  <c:v>-1531351.5310067516</c:v>
                </c:pt>
                <c:pt idx="18">
                  <c:v>-7881103.1079519726</c:v>
                </c:pt>
              </c:numCache>
            </c:numRef>
          </c:val>
          <c:extLst>
            <c:ext xmlns:c16="http://schemas.microsoft.com/office/drawing/2014/chart" uri="{C3380CC4-5D6E-409C-BE32-E72D297353CC}">
              <c16:uniqueId val="{00000000-3C2C-1D4B-A4A0-AE25EAB3DE70}"/>
            </c:ext>
          </c:extLst>
        </c:ser>
        <c:dLbls>
          <c:showLegendKey val="0"/>
          <c:showVal val="0"/>
          <c:showCatName val="0"/>
          <c:showSerName val="0"/>
          <c:showPercent val="0"/>
          <c:showBubbleSize val="0"/>
        </c:dLbls>
        <c:gapWidth val="150"/>
        <c:axId val="-1797653696"/>
        <c:axId val="-1797641344"/>
      </c:barChart>
      <c:catAx>
        <c:axId val="-1797653696"/>
        <c:scaling>
          <c:orientation val="minMax"/>
        </c:scaling>
        <c:delete val="0"/>
        <c:axPos val="b"/>
        <c:numFmt formatCode="General" sourceLinked="0"/>
        <c:majorTickMark val="out"/>
        <c:minorTickMark val="none"/>
        <c:tickLblPos val="nextTo"/>
        <c:crossAx val="-1797641344"/>
        <c:crosses val="autoZero"/>
        <c:auto val="1"/>
        <c:lblAlgn val="ctr"/>
        <c:lblOffset val="1000"/>
        <c:noMultiLvlLbl val="0"/>
      </c:catAx>
      <c:valAx>
        <c:axId val="-1797641344"/>
        <c:scaling>
          <c:orientation val="minMax"/>
          <c:max val="2000000"/>
          <c:min val="-2000000"/>
        </c:scaling>
        <c:delete val="0"/>
        <c:axPos val="l"/>
        <c:majorGridlines/>
        <c:numFmt formatCode="_(* #,##0_);_(* \(#,##0\);_(* &quot;-&quot;??_);_(@_)" sourceLinked="1"/>
        <c:majorTickMark val="out"/>
        <c:minorTickMark val="none"/>
        <c:tickLblPos val="nextTo"/>
        <c:crossAx val="-1797653696"/>
        <c:crosses val="autoZero"/>
        <c:crossBetween val="between"/>
      </c:valAx>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200"/>
              <a:t>Distribution of undergrad completion pool</a:t>
            </a:r>
          </a:p>
        </c:rich>
      </c:tx>
      <c:overlay val="0"/>
    </c:title>
    <c:autoTitleDeleted val="0"/>
    <c:plotArea>
      <c:layout/>
      <c:scatterChart>
        <c:scatterStyle val="lineMarker"/>
        <c:varyColors val="0"/>
        <c:ser>
          <c:idx val="0"/>
          <c:order val="0"/>
          <c:spPr>
            <a:ln w="47625">
              <a:noFill/>
            </a:ln>
          </c:spPr>
          <c:trendline>
            <c:trendlineType val="linear"/>
            <c:dispRSqr val="0"/>
            <c:dispEq val="0"/>
          </c:trendline>
          <c:xVal>
            <c:numRef>
              <c:f>'Undergrad Completions'!$G$70:$G$81</c:f>
              <c:numCache>
                <c:formatCode>0.00%</c:formatCode>
                <c:ptCount val="12"/>
                <c:pt idx="0">
                  <c:v>0.10426677891128447</c:v>
                </c:pt>
                <c:pt idx="1">
                  <c:v>0.13717096369513748</c:v>
                </c:pt>
                <c:pt idx="2">
                  <c:v>9.3684552500653811E-3</c:v>
                </c:pt>
                <c:pt idx="3">
                  <c:v>3.2038128151512441E-2</c:v>
                </c:pt>
                <c:pt idx="4">
                  <c:v>0</c:v>
                </c:pt>
                <c:pt idx="5">
                  <c:v>0.11289085778661553</c:v>
                </c:pt>
                <c:pt idx="6">
                  <c:v>0</c:v>
                </c:pt>
                <c:pt idx="7">
                  <c:v>0.15615673295010815</c:v>
                </c:pt>
                <c:pt idx="8">
                  <c:v>0</c:v>
                </c:pt>
                <c:pt idx="9">
                  <c:v>0.29019222874572287</c:v>
                </c:pt>
                <c:pt idx="10">
                  <c:v>0.10614171343494838</c:v>
                </c:pt>
                <c:pt idx="11">
                  <c:v>2.5901193541495841E-2</c:v>
                </c:pt>
              </c:numCache>
            </c:numRef>
          </c:xVal>
          <c:yVal>
            <c:numRef>
              <c:f>'Undergrad Completions'!$H$70:$H$81</c:f>
              <c:numCache>
                <c:formatCode>0.00%</c:formatCode>
                <c:ptCount val="12"/>
                <c:pt idx="0">
                  <c:v>7.3300371285124913E-2</c:v>
                </c:pt>
                <c:pt idx="1">
                  <c:v>0.15881230691797776</c:v>
                </c:pt>
                <c:pt idx="2">
                  <c:v>1.1033397818153011E-3</c:v>
                </c:pt>
                <c:pt idx="3">
                  <c:v>2.6898903220662844E-2</c:v>
                </c:pt>
                <c:pt idx="4">
                  <c:v>0</c:v>
                </c:pt>
                <c:pt idx="5">
                  <c:v>0.14284912891280002</c:v>
                </c:pt>
                <c:pt idx="6">
                  <c:v>0</c:v>
                </c:pt>
                <c:pt idx="7">
                  <c:v>0.12627064695650975</c:v>
                </c:pt>
                <c:pt idx="8">
                  <c:v>0</c:v>
                </c:pt>
                <c:pt idx="9">
                  <c:v>0.37460942190234747</c:v>
                </c:pt>
                <c:pt idx="10">
                  <c:v>8.0633886207528746E-2</c:v>
                </c:pt>
                <c:pt idx="11">
                  <c:v>1.5521994815233305E-2</c:v>
                </c:pt>
              </c:numCache>
            </c:numRef>
          </c:yVal>
          <c:smooth val="0"/>
          <c:extLst>
            <c:ext xmlns:c16="http://schemas.microsoft.com/office/drawing/2014/chart" uri="{C3380CC4-5D6E-409C-BE32-E72D297353CC}">
              <c16:uniqueId val="{00000001-EBD2-BC48-BD74-A87018B639B4}"/>
            </c:ext>
          </c:extLst>
        </c:ser>
        <c:dLbls>
          <c:showLegendKey val="0"/>
          <c:showVal val="0"/>
          <c:showCatName val="0"/>
          <c:showSerName val="0"/>
          <c:showPercent val="0"/>
          <c:showBubbleSize val="0"/>
        </c:dLbls>
        <c:axId val="-1837811776"/>
        <c:axId val="-1837808704"/>
      </c:scatterChart>
      <c:valAx>
        <c:axId val="-1837811776"/>
        <c:scaling>
          <c:orientation val="minMax"/>
        </c:scaling>
        <c:delete val="0"/>
        <c:axPos val="b"/>
        <c:title>
          <c:tx>
            <c:rich>
              <a:bodyPr/>
              <a:lstStyle/>
              <a:p>
                <a:pPr>
                  <a:defRPr sz="1200"/>
                </a:pPr>
                <a:r>
                  <a:rPr lang="en-US" sz="1200"/>
                  <a:t>Share of Weighted Degrees</a:t>
                </a:r>
              </a:p>
            </c:rich>
          </c:tx>
          <c:overlay val="0"/>
        </c:title>
        <c:numFmt formatCode="0.00%" sourceLinked="1"/>
        <c:majorTickMark val="none"/>
        <c:minorTickMark val="none"/>
        <c:tickLblPos val="nextTo"/>
        <c:crossAx val="-1837808704"/>
        <c:crosses val="autoZero"/>
        <c:crossBetween val="midCat"/>
      </c:valAx>
      <c:valAx>
        <c:axId val="-1837808704"/>
        <c:scaling>
          <c:orientation val="minMax"/>
        </c:scaling>
        <c:delete val="0"/>
        <c:axPos val="l"/>
        <c:majorGridlines/>
        <c:title>
          <c:tx>
            <c:rich>
              <a:bodyPr/>
              <a:lstStyle/>
              <a:p>
                <a:pPr>
                  <a:defRPr sz="1200"/>
                </a:pPr>
                <a:r>
                  <a:rPr lang="en-US" sz="1200"/>
                  <a:t>Share of Weight UD SCH</a:t>
                </a:r>
              </a:p>
              <a:p>
                <a:pPr>
                  <a:defRPr sz="1200"/>
                </a:pPr>
                <a:endParaRPr lang="en-US" sz="1200"/>
              </a:p>
            </c:rich>
          </c:tx>
          <c:overlay val="0"/>
        </c:title>
        <c:numFmt formatCode="0.00%" sourceLinked="1"/>
        <c:majorTickMark val="none"/>
        <c:minorTickMark val="none"/>
        <c:tickLblPos val="nextTo"/>
        <c:crossAx val="-1837811776"/>
        <c:crosses val="autoZero"/>
        <c:crossBetween val="midCat"/>
      </c:valAx>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Shares of Graduate Completion</a:t>
            </a:r>
            <a:r>
              <a:rPr lang="en-US" baseline="0"/>
              <a:t> Pool</a:t>
            </a:r>
            <a:endParaRPr lang="en-US"/>
          </a:p>
        </c:rich>
      </c:tx>
      <c:overlay val="0"/>
    </c:title>
    <c:autoTitleDeleted val="0"/>
    <c:plotArea>
      <c:layout/>
      <c:scatterChart>
        <c:scatterStyle val="lineMarker"/>
        <c:varyColors val="0"/>
        <c:ser>
          <c:idx val="0"/>
          <c:order val="0"/>
          <c:spPr>
            <a:ln w="47625">
              <a:noFill/>
            </a:ln>
          </c:spPr>
          <c:xVal>
            <c:numRef>
              <c:f>'Graduate Completions'!$B$114:$B$125</c:f>
              <c:numCache>
                <c:formatCode>0.00%</c:formatCode>
                <c:ptCount val="12"/>
                <c:pt idx="0">
                  <c:v>9.9198739630790553E-2</c:v>
                </c:pt>
                <c:pt idx="1">
                  <c:v>5.3569012542448419E-2</c:v>
                </c:pt>
                <c:pt idx="2">
                  <c:v>5.1485375360930549E-2</c:v>
                </c:pt>
                <c:pt idx="3">
                  <c:v>5.9552290638235271E-2</c:v>
                </c:pt>
                <c:pt idx="4">
                  <c:v>7.408758554247373E-2</c:v>
                </c:pt>
                <c:pt idx="5">
                  <c:v>9.6846175489081837E-2</c:v>
                </c:pt>
                <c:pt idx="6">
                  <c:v>5.1173058610940736E-3</c:v>
                </c:pt>
                <c:pt idx="7">
                  <c:v>6.5447795004492743E-2</c:v>
                </c:pt>
                <c:pt idx="8">
                  <c:v>4.8079219901834627E-2</c:v>
                </c:pt>
                <c:pt idx="9">
                  <c:v>0.32849291456819141</c:v>
                </c:pt>
                <c:pt idx="10">
                  <c:v>7.0011832382377431E-2</c:v>
                </c:pt>
                <c:pt idx="11">
                  <c:v>4.8111753078049276E-2</c:v>
                </c:pt>
              </c:numCache>
            </c:numRef>
          </c:xVal>
          <c:yVal>
            <c:numRef>
              <c:f>'Graduate Completions'!$C$114:$C$125</c:f>
              <c:numCache>
                <c:formatCode>0.00%</c:formatCode>
                <c:ptCount val="12"/>
                <c:pt idx="0">
                  <c:v>9.3719235988671865E-2</c:v>
                </c:pt>
                <c:pt idx="1">
                  <c:v>1.8299772572132309E-2</c:v>
                </c:pt>
                <c:pt idx="2">
                  <c:v>5.2266671988630787E-3</c:v>
                </c:pt>
                <c:pt idx="3">
                  <c:v>2.8437791931562595E-2</c:v>
                </c:pt>
                <c:pt idx="4">
                  <c:v>0.16064229154430479</c:v>
                </c:pt>
                <c:pt idx="5">
                  <c:v>0.12809403536003955</c:v>
                </c:pt>
                <c:pt idx="6">
                  <c:v>2.2607417215538973E-2</c:v>
                </c:pt>
                <c:pt idx="7">
                  <c:v>5.4037853458422845E-2</c:v>
                </c:pt>
                <c:pt idx="8">
                  <c:v>0.11463536797958467</c:v>
                </c:pt>
                <c:pt idx="9">
                  <c:v>0.27822116713302231</c:v>
                </c:pt>
                <c:pt idx="10">
                  <c:v>5.821962312750751E-2</c:v>
                </c:pt>
                <c:pt idx="11">
                  <c:v>3.7858776490349529E-2</c:v>
                </c:pt>
              </c:numCache>
            </c:numRef>
          </c:yVal>
          <c:smooth val="0"/>
          <c:extLst>
            <c:ext xmlns:c16="http://schemas.microsoft.com/office/drawing/2014/chart" uri="{C3380CC4-5D6E-409C-BE32-E72D297353CC}">
              <c16:uniqueId val="{00000000-F4E8-0B4E-BE4D-A9ACECCAD2F0}"/>
            </c:ext>
          </c:extLst>
        </c:ser>
        <c:dLbls>
          <c:showLegendKey val="0"/>
          <c:showVal val="0"/>
          <c:showCatName val="0"/>
          <c:showSerName val="0"/>
          <c:showPercent val="0"/>
          <c:showBubbleSize val="0"/>
        </c:dLbls>
        <c:axId val="-1785661760"/>
        <c:axId val="-1785657728"/>
      </c:scatterChart>
      <c:valAx>
        <c:axId val="-1785661760"/>
        <c:scaling>
          <c:orientation val="minMax"/>
        </c:scaling>
        <c:delete val="0"/>
        <c:axPos val="b"/>
        <c:title>
          <c:tx>
            <c:rich>
              <a:bodyPr/>
              <a:lstStyle/>
              <a:p>
                <a:pPr>
                  <a:defRPr/>
                </a:pPr>
                <a:r>
                  <a:rPr lang="en-US"/>
                  <a:t>Shares by Degrees</a:t>
                </a:r>
              </a:p>
            </c:rich>
          </c:tx>
          <c:overlay val="0"/>
        </c:title>
        <c:numFmt formatCode="0.00%" sourceLinked="1"/>
        <c:majorTickMark val="none"/>
        <c:minorTickMark val="none"/>
        <c:tickLblPos val="nextTo"/>
        <c:crossAx val="-1785657728"/>
        <c:crosses val="autoZero"/>
        <c:crossBetween val="midCat"/>
      </c:valAx>
      <c:valAx>
        <c:axId val="-1785657728"/>
        <c:scaling>
          <c:orientation val="minMax"/>
        </c:scaling>
        <c:delete val="0"/>
        <c:axPos val="l"/>
        <c:majorGridlines/>
        <c:title>
          <c:tx>
            <c:rich>
              <a:bodyPr/>
              <a:lstStyle/>
              <a:p>
                <a:pPr>
                  <a:defRPr/>
                </a:pPr>
                <a:r>
                  <a:rPr lang="en-US"/>
                  <a:t>Shares by Credit Hours</a:t>
                </a:r>
              </a:p>
              <a:p>
                <a:pPr>
                  <a:defRPr/>
                </a:pPr>
                <a:endParaRPr lang="en-US"/>
              </a:p>
            </c:rich>
          </c:tx>
          <c:overlay val="0"/>
        </c:title>
        <c:numFmt formatCode="0.00%" sourceLinked="1"/>
        <c:majorTickMark val="none"/>
        <c:minorTickMark val="none"/>
        <c:tickLblPos val="nextTo"/>
        <c:crossAx val="-1785661760"/>
        <c:crosses val="autoZero"/>
        <c:crossBetween val="midCat"/>
      </c:valAx>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t>Shares of Graduate Completion</a:t>
            </a:r>
            <a:r>
              <a:rPr lang="en-US" sz="1400" baseline="0"/>
              <a:t> Pool (w/o Vet, Pharm</a:t>
            </a:r>
            <a:r>
              <a:rPr lang="en-US" baseline="0"/>
              <a:t>)</a:t>
            </a:r>
            <a:endParaRPr lang="en-US"/>
          </a:p>
        </c:rich>
      </c:tx>
      <c:overlay val="0"/>
    </c:title>
    <c:autoTitleDeleted val="0"/>
    <c:plotArea>
      <c:layout/>
      <c:scatterChart>
        <c:scatterStyle val="lineMarker"/>
        <c:varyColors val="0"/>
        <c:ser>
          <c:idx val="0"/>
          <c:order val="0"/>
          <c:spPr>
            <a:ln w="47625">
              <a:noFill/>
            </a:ln>
          </c:spPr>
          <c:xVal>
            <c:numRef>
              <c:f>'Graduate Completions'!$B$133:$B$144</c:f>
              <c:numCache>
                <c:formatCode>0.00%</c:formatCode>
                <c:ptCount val="12"/>
                <c:pt idx="0">
                  <c:v>9.9198739630790553E-2</c:v>
                </c:pt>
                <c:pt idx="1">
                  <c:v>5.3569012542448419E-2</c:v>
                </c:pt>
                <c:pt idx="2">
                  <c:v>5.1485375360930549E-2</c:v>
                </c:pt>
                <c:pt idx="3">
                  <c:v>5.9552290638235271E-2</c:v>
                </c:pt>
                <c:pt idx="5">
                  <c:v>9.6846175489081837E-2</c:v>
                </c:pt>
                <c:pt idx="6">
                  <c:v>5.1173058610940736E-3</c:v>
                </c:pt>
                <c:pt idx="7">
                  <c:v>6.5447795004492743E-2</c:v>
                </c:pt>
                <c:pt idx="9">
                  <c:v>0.32849291456819141</c:v>
                </c:pt>
                <c:pt idx="10">
                  <c:v>7.0011832382377431E-2</c:v>
                </c:pt>
                <c:pt idx="11">
                  <c:v>4.8111753078049276E-2</c:v>
                </c:pt>
              </c:numCache>
            </c:numRef>
          </c:xVal>
          <c:yVal>
            <c:numRef>
              <c:f>'Graduate Completions'!$C$133:$C$144</c:f>
              <c:numCache>
                <c:formatCode>0.00%</c:formatCode>
                <c:ptCount val="12"/>
                <c:pt idx="0">
                  <c:v>9.3719235988671865E-2</c:v>
                </c:pt>
                <c:pt idx="1">
                  <c:v>1.8299772572132309E-2</c:v>
                </c:pt>
                <c:pt idx="2">
                  <c:v>5.2266671988630787E-3</c:v>
                </c:pt>
                <c:pt idx="3">
                  <c:v>2.8437791931562595E-2</c:v>
                </c:pt>
                <c:pt idx="5">
                  <c:v>0.12809403536003955</c:v>
                </c:pt>
                <c:pt idx="6">
                  <c:v>2.2607417215538973E-2</c:v>
                </c:pt>
                <c:pt idx="7">
                  <c:v>5.4037853458422845E-2</c:v>
                </c:pt>
                <c:pt idx="9">
                  <c:v>0.27822116713302231</c:v>
                </c:pt>
                <c:pt idx="10">
                  <c:v>5.821962312750751E-2</c:v>
                </c:pt>
                <c:pt idx="11">
                  <c:v>3.7858776490349529E-2</c:v>
                </c:pt>
              </c:numCache>
            </c:numRef>
          </c:yVal>
          <c:smooth val="0"/>
          <c:extLst>
            <c:ext xmlns:c16="http://schemas.microsoft.com/office/drawing/2014/chart" uri="{C3380CC4-5D6E-409C-BE32-E72D297353CC}">
              <c16:uniqueId val="{00000000-8194-6E41-B356-C7F7C7C69EFE}"/>
            </c:ext>
          </c:extLst>
        </c:ser>
        <c:dLbls>
          <c:showLegendKey val="0"/>
          <c:showVal val="0"/>
          <c:showCatName val="0"/>
          <c:showSerName val="0"/>
          <c:showPercent val="0"/>
          <c:showBubbleSize val="0"/>
        </c:dLbls>
        <c:axId val="-1785636080"/>
        <c:axId val="-1785632048"/>
      </c:scatterChart>
      <c:valAx>
        <c:axId val="-1785636080"/>
        <c:scaling>
          <c:orientation val="minMax"/>
        </c:scaling>
        <c:delete val="0"/>
        <c:axPos val="b"/>
        <c:title>
          <c:tx>
            <c:rich>
              <a:bodyPr/>
              <a:lstStyle/>
              <a:p>
                <a:pPr>
                  <a:defRPr/>
                </a:pPr>
                <a:r>
                  <a:rPr lang="en-US"/>
                  <a:t>Shares by Degrees</a:t>
                </a:r>
              </a:p>
            </c:rich>
          </c:tx>
          <c:overlay val="0"/>
        </c:title>
        <c:numFmt formatCode="0.00%" sourceLinked="1"/>
        <c:majorTickMark val="none"/>
        <c:minorTickMark val="none"/>
        <c:tickLblPos val="nextTo"/>
        <c:crossAx val="-1785632048"/>
        <c:crosses val="autoZero"/>
        <c:crossBetween val="midCat"/>
      </c:valAx>
      <c:valAx>
        <c:axId val="-1785632048"/>
        <c:scaling>
          <c:orientation val="minMax"/>
        </c:scaling>
        <c:delete val="0"/>
        <c:axPos val="l"/>
        <c:majorGridlines/>
        <c:title>
          <c:tx>
            <c:rich>
              <a:bodyPr/>
              <a:lstStyle/>
              <a:p>
                <a:pPr>
                  <a:defRPr/>
                </a:pPr>
                <a:r>
                  <a:rPr lang="en-US"/>
                  <a:t>Shares by Credit Hours</a:t>
                </a:r>
              </a:p>
              <a:p>
                <a:pPr>
                  <a:defRPr/>
                </a:pPr>
                <a:endParaRPr lang="en-US"/>
              </a:p>
            </c:rich>
          </c:tx>
          <c:overlay val="0"/>
        </c:title>
        <c:numFmt formatCode="0.00%" sourceLinked="1"/>
        <c:majorTickMark val="none"/>
        <c:minorTickMark val="none"/>
        <c:tickLblPos val="nextTo"/>
        <c:crossAx val="-1785636080"/>
        <c:crosses val="autoZero"/>
        <c:crossBetween val="midCat"/>
      </c:valAx>
    </c:plotArea>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Model budget comparisons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'What If Data'!$B$5</c:f>
              <c:strCache>
                <c:ptCount val="1"/>
                <c:pt idx="0">
                  <c:v>Fy17 Adjusted Initial Budget</c:v>
                </c:pt>
              </c:strCache>
            </c:strRef>
          </c:tx>
          <c:spPr>
            <a:solidFill>
              <a:schemeClr val="accent1"/>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Data'!$B$6:$B$20</c:f>
              <c:numCache>
                <c:formatCode>_(* #,##0_);_(* \(#,##0\);_(* "-"??_);_(@_)</c:formatCode>
                <c:ptCount val="15"/>
                <c:pt idx="0" formatCode="_(* #,##0_);_(* \(#,##0\);_(* &quot;-&quot;_);_(@_)">
                  <c:v>22952677</c:v>
                </c:pt>
                <c:pt idx="1">
                  <c:v>20340741</c:v>
                </c:pt>
                <c:pt idx="2">
                  <c:v>14434039</c:v>
                </c:pt>
                <c:pt idx="3" formatCode="_(* #,##0_);_(* \(#,##0\);_(* &quot;-&quot;_);_(@_)">
                  <c:v>43369613</c:v>
                </c:pt>
                <c:pt idx="4">
                  <c:v>4791672</c:v>
                </c:pt>
                <c:pt idx="5">
                  <c:v>57240954</c:v>
                </c:pt>
                <c:pt idx="6" formatCode="_(* #,##0_);_(* \(#,##0\);_(* &quot;-&quot;_);_(@_)">
                  <c:v>8833735</c:v>
                </c:pt>
                <c:pt idx="7">
                  <c:v>12573591</c:v>
                </c:pt>
                <c:pt idx="8">
                  <c:v>19991639</c:v>
                </c:pt>
                <c:pt idx="9" formatCode="_(* #,##0_);_(* \(#,##0\);_(* &quot;-&quot;_);_(@_)">
                  <c:v>40678621</c:v>
                </c:pt>
                <c:pt idx="10">
                  <c:v>24513720</c:v>
                </c:pt>
                <c:pt idx="12" formatCode="_(* #,##0_);_(* \(#,##0\);_(* &quot;-&quot;_);_(@_)">
                  <c:v>2438816</c:v>
                </c:pt>
                <c:pt idx="13">
                  <c:v>11252786</c:v>
                </c:pt>
                <c:pt idx="14">
                  <c:v>823212</c:v>
                </c:pt>
              </c:numCache>
            </c:numRef>
          </c:val>
          <c:extLst>
            <c:ext xmlns:c16="http://schemas.microsoft.com/office/drawing/2014/chart" uri="{C3380CC4-5D6E-409C-BE32-E72D297353CC}">
              <c16:uniqueId val="{00000000-13FD-D444-9A21-D9896D720126}"/>
            </c:ext>
          </c:extLst>
        </c:ser>
        <c:ser>
          <c:idx val="1"/>
          <c:order val="1"/>
          <c:tx>
            <c:strRef>
              <c:f>'What If Data'!$C$5</c:f>
              <c:strCache>
                <c:ptCount val="1"/>
                <c:pt idx="0">
                  <c:v>Actual FY18 Budget</c:v>
                </c:pt>
              </c:strCache>
            </c:strRef>
          </c:tx>
          <c:spPr>
            <a:solidFill>
              <a:schemeClr val="accent2"/>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Data'!$C$6:$C$20</c:f>
              <c:numCache>
                <c:formatCode>_(* #,##0_);_(* \(#,##0\);_(* "-"??_);_(@_)</c:formatCode>
                <c:ptCount val="15"/>
                <c:pt idx="0" formatCode="_(* #,##0_);_(* \(#,##0\);_(* &quot;-&quot;_);_(@_)">
                  <c:v>24160078</c:v>
                </c:pt>
                <c:pt idx="1">
                  <c:v>20462422</c:v>
                </c:pt>
                <c:pt idx="2">
                  <c:v>14831995</c:v>
                </c:pt>
                <c:pt idx="3" formatCode="_(* #,##0_);_(* \(#,##0\);_(* &quot;-&quot;_);_(@_)">
                  <c:v>45894131</c:v>
                </c:pt>
                <c:pt idx="4">
                  <c:v>4806568</c:v>
                </c:pt>
                <c:pt idx="5">
                  <c:v>61306607</c:v>
                </c:pt>
                <c:pt idx="6" formatCode="_(* #,##0_);_(* \(#,##0\);_(* &quot;-&quot;_);_(@_)">
                  <c:v>9355600</c:v>
                </c:pt>
                <c:pt idx="7">
                  <c:v>12737398</c:v>
                </c:pt>
                <c:pt idx="8">
                  <c:v>20440194</c:v>
                </c:pt>
                <c:pt idx="9" formatCode="_(* #,##0_);_(* \(#,##0\);_(* &quot;-&quot;_);_(@_)">
                  <c:v>41127158</c:v>
                </c:pt>
                <c:pt idx="10">
                  <c:v>24909417</c:v>
                </c:pt>
                <c:pt idx="12" formatCode="_(* #,##0_);_(* \(#,##0\);_(* &quot;-&quot;_);_(@_)">
                  <c:v>2839964</c:v>
                </c:pt>
                <c:pt idx="13">
                  <c:v>11354618</c:v>
                </c:pt>
                <c:pt idx="14">
                  <c:v>833083</c:v>
                </c:pt>
              </c:numCache>
            </c:numRef>
          </c:val>
          <c:extLst>
            <c:ext xmlns:c16="http://schemas.microsoft.com/office/drawing/2014/chart" uri="{C3380CC4-5D6E-409C-BE32-E72D297353CC}">
              <c16:uniqueId val="{00000001-13FD-D444-9A21-D9896D720126}"/>
            </c:ext>
          </c:extLst>
        </c:ser>
        <c:ser>
          <c:idx val="2"/>
          <c:order val="2"/>
          <c:tx>
            <c:strRef>
              <c:f>'What If Data'!$D$5</c:f>
              <c:strCache>
                <c:ptCount val="1"/>
                <c:pt idx="0">
                  <c:v>Original FY18 Model Budget</c:v>
                </c:pt>
              </c:strCache>
            </c:strRef>
          </c:tx>
          <c:spPr>
            <a:solidFill>
              <a:schemeClr val="accent3"/>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Data'!$D$6:$D$20</c:f>
              <c:numCache>
                <c:formatCode>_(* #,##0_);_(* \(#,##0\);_(* "-"??_);_(@_)</c:formatCode>
                <c:ptCount val="15"/>
                <c:pt idx="0" formatCode="_(* #,##0_);_(* \(#,##0\);_(* &quot;-&quot;_);_(@_)">
                  <c:v>25001758.759312462</c:v>
                </c:pt>
                <c:pt idx="1">
                  <c:v>20285337.772514664</c:v>
                </c:pt>
                <c:pt idx="2">
                  <c:v>14741202.939066634</c:v>
                </c:pt>
                <c:pt idx="3" formatCode="_(* #,##0_);_(* \(#,##0\);_(* &quot;-&quot;_);_(@_)">
                  <c:v>45922829.802812383</c:v>
                </c:pt>
                <c:pt idx="4">
                  <c:v>4830007.8363892129</c:v>
                </c:pt>
                <c:pt idx="5">
                  <c:v>64222078.737047724</c:v>
                </c:pt>
                <c:pt idx="6" formatCode="_(* #,##0_);_(* \(#,##0\);_(* &quot;-&quot;_);_(@_)">
                  <c:v>9346906.6282929424</c:v>
                </c:pt>
                <c:pt idx="7">
                  <c:v>12673049.798480507</c:v>
                </c:pt>
                <c:pt idx="8">
                  <c:v>19856321.585655142</c:v>
                </c:pt>
                <c:pt idx="9" formatCode="_(* #,##0_);_(* \(#,##0\);_(* &quot;-&quot;_);_(@_)">
                  <c:v>41762479.565978713</c:v>
                </c:pt>
                <c:pt idx="10">
                  <c:v>24861945.565714028</c:v>
                </c:pt>
                <c:pt idx="12" formatCode="_(* #,##0_);_(* \(#,##0\);_(* &quot;-&quot;_);_(@_)">
                  <c:v>3076862.3114752835</c:v>
                </c:pt>
                <c:pt idx="13">
                  <c:v>11331878.453987531</c:v>
                </c:pt>
                <c:pt idx="14">
                  <c:v>1185279.7481987444</c:v>
                </c:pt>
              </c:numCache>
            </c:numRef>
          </c:val>
          <c:extLst>
            <c:ext xmlns:c16="http://schemas.microsoft.com/office/drawing/2014/chart" uri="{C3380CC4-5D6E-409C-BE32-E72D297353CC}">
              <c16:uniqueId val="{00000002-13FD-D444-9A21-D9896D720126}"/>
            </c:ext>
          </c:extLst>
        </c:ser>
        <c:ser>
          <c:idx val="3"/>
          <c:order val="3"/>
          <c:tx>
            <c:strRef>
              <c:f>'What If Data'!$E$5</c:f>
              <c:strCache>
                <c:ptCount val="1"/>
                <c:pt idx="0">
                  <c:v>Adjusted FY18 Model Budget</c:v>
                </c:pt>
              </c:strCache>
            </c:strRef>
          </c:tx>
          <c:spPr>
            <a:solidFill>
              <a:schemeClr val="accent4"/>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Data'!$E$6:$E$20</c:f>
              <c:numCache>
                <c:formatCode>_(* #,##0_);_(* \(#,##0\);_(* "-"??_);_(@_)</c:formatCode>
                <c:ptCount val="15"/>
                <c:pt idx="0" formatCode="_(* #,##0_);_(* \(#,##0\);_(* &quot;-&quot;_);_(@_)">
                  <c:v>24523970.538359653</c:v>
                </c:pt>
                <c:pt idx="1">
                  <c:v>22524237.091031913</c:v>
                </c:pt>
                <c:pt idx="2">
                  <c:v>17320490.530335311</c:v>
                </c:pt>
                <c:pt idx="3" formatCode="_(* #,##0_);_(* \(#,##0\);_(* &quot;-&quot;_);_(@_)">
                  <c:v>44576377.858418711</c:v>
                </c:pt>
                <c:pt idx="4">
                  <c:v>5898671.472228311</c:v>
                </c:pt>
                <c:pt idx="5">
                  <c:v>68039673.913837895</c:v>
                </c:pt>
                <c:pt idx="6" formatCode="_(* #,##0_);_(* \(#,##0\);_(* &quot;-&quot;_);_(@_)">
                  <c:v>9249724.7562814131</c:v>
                </c:pt>
                <c:pt idx="7">
                  <c:v>12758189.870759277</c:v>
                </c:pt>
                <c:pt idx="8">
                  <c:v>20494022.002564568</c:v>
                </c:pt>
                <c:pt idx="9" formatCode="_(* #,##0_);_(* \(#,##0\);_(* &quot;-&quot;_);_(@_)">
                  <c:v>44927756.725060485</c:v>
                </c:pt>
                <c:pt idx="10">
                  <c:v>27439905.628102593</c:v>
                </c:pt>
                <c:pt idx="12" formatCode="_(* #,##0_);_(* \(#,##0\);_(* &quot;-&quot;_);_(@_)">
                  <c:v>3033568.3660428426</c:v>
                </c:pt>
                <c:pt idx="13">
                  <c:v>10974383.031738687</c:v>
                </c:pt>
                <c:pt idx="14">
                  <c:v>965422.26907622605</c:v>
                </c:pt>
              </c:numCache>
            </c:numRef>
          </c:val>
          <c:extLst>
            <c:ext xmlns:c16="http://schemas.microsoft.com/office/drawing/2014/chart" uri="{C3380CC4-5D6E-409C-BE32-E72D297353CC}">
              <c16:uniqueId val="{00000003-13FD-D444-9A21-D9896D720126}"/>
            </c:ext>
          </c:extLst>
        </c:ser>
        <c:dLbls>
          <c:showLegendKey val="0"/>
          <c:showVal val="0"/>
          <c:showCatName val="0"/>
          <c:showSerName val="0"/>
          <c:showPercent val="0"/>
          <c:showBubbleSize val="0"/>
        </c:dLbls>
        <c:gapWidth val="219"/>
        <c:overlap val="-27"/>
        <c:axId val="-1785572336"/>
        <c:axId val="-1785569072"/>
      </c:barChart>
      <c:catAx>
        <c:axId val="-178557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5569072"/>
        <c:crosses val="autoZero"/>
        <c:auto val="1"/>
        <c:lblAlgn val="ctr"/>
        <c:lblOffset val="100"/>
        <c:noMultiLvlLbl val="0"/>
      </c:catAx>
      <c:valAx>
        <c:axId val="-17855690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5572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Dollar Change from original FY18 Model budget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'What If Data'!$F$5</c:f>
              <c:strCache>
                <c:ptCount val="1"/>
                <c:pt idx="0">
                  <c:v>Change</c:v>
                </c:pt>
              </c:strCache>
            </c:strRef>
          </c:tx>
          <c:spPr>
            <a:solidFill>
              <a:schemeClr val="accent1"/>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Data'!$F$6:$F$20</c:f>
              <c:numCache>
                <c:formatCode>_(* #,##0_);_(* \(#,##0\);_(* "-"??_);_(@_)</c:formatCode>
                <c:ptCount val="15"/>
                <c:pt idx="0" formatCode="_(* #,##0_);_(* \(#,##0\);_(* &quot;-&quot;_);_(@_)">
                  <c:v>-477788.22095280886</c:v>
                </c:pt>
                <c:pt idx="1">
                  <c:v>2238899.3185172491</c:v>
                </c:pt>
                <c:pt idx="2">
                  <c:v>2579287.5912686773</c:v>
                </c:pt>
                <c:pt idx="3" formatCode="_(* #,##0_);_(* \(#,##0\);_(* &quot;-&quot;_);_(@_)">
                  <c:v>-1346451.944393672</c:v>
                </c:pt>
                <c:pt idx="4">
                  <c:v>1068663.6358390981</c:v>
                </c:pt>
                <c:pt idx="5">
                  <c:v>3817595.1767901704</c:v>
                </c:pt>
                <c:pt idx="6" formatCode="_(* #,##0_);_(* \(#,##0\);_(* &quot;-&quot;_);_(@_)">
                  <c:v>-97181.872011529282</c:v>
                </c:pt>
                <c:pt idx="7">
                  <c:v>85140.072278769687</c:v>
                </c:pt>
                <c:pt idx="8">
                  <c:v>637700.41690942645</c:v>
                </c:pt>
                <c:pt idx="9" formatCode="_(* #,##0_);_(* \(#,##0\);_(* &quot;-&quot;_);_(@_)">
                  <c:v>3165277.159081772</c:v>
                </c:pt>
                <c:pt idx="10">
                  <c:v>2577960.0623885654</c:v>
                </c:pt>
                <c:pt idx="12" formatCode="_(* #,##0_);_(* \(#,##0\);_(* &quot;-&quot;_);_(@_)">
                  <c:v>-43293.945432440843</c:v>
                </c:pt>
                <c:pt idx="13">
                  <c:v>-357495.42224884406</c:v>
                </c:pt>
                <c:pt idx="14">
                  <c:v>-219857.47912251833</c:v>
                </c:pt>
              </c:numCache>
            </c:numRef>
          </c:val>
          <c:extLst>
            <c:ext xmlns:c16="http://schemas.microsoft.com/office/drawing/2014/chart" uri="{C3380CC4-5D6E-409C-BE32-E72D297353CC}">
              <c16:uniqueId val="{00000000-5E2A-014F-B539-447FEE986D23}"/>
            </c:ext>
          </c:extLst>
        </c:ser>
        <c:dLbls>
          <c:showLegendKey val="0"/>
          <c:showVal val="0"/>
          <c:showCatName val="0"/>
          <c:showSerName val="0"/>
          <c:showPercent val="0"/>
          <c:showBubbleSize val="0"/>
        </c:dLbls>
        <c:gapWidth val="219"/>
        <c:overlap val="-27"/>
        <c:axId val="-1797607712"/>
        <c:axId val="-1797600512"/>
      </c:barChart>
      <c:catAx>
        <c:axId val="-179760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600512"/>
        <c:crosses val="autoZero"/>
        <c:auto val="1"/>
        <c:lblAlgn val="ctr"/>
        <c:lblOffset val="100"/>
        <c:noMultiLvlLbl val="0"/>
      </c:catAx>
      <c:valAx>
        <c:axId val="-17976005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607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9525</xdr:colOff>
      <xdr:row>2</xdr:row>
      <xdr:rowOff>180975</xdr:rowOff>
    </xdr:from>
    <xdr:to>
      <xdr:col>26</xdr:col>
      <xdr:colOff>377825</xdr:colOff>
      <xdr:row>42</xdr:row>
      <xdr:rowOff>15875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15875</xdr:colOff>
      <xdr:row>43</xdr:row>
      <xdr:rowOff>19050</xdr:rowOff>
    </xdr:from>
    <xdr:to>
      <xdr:col>26</xdr:col>
      <xdr:colOff>161925</xdr:colOff>
      <xdr:row>59</xdr:row>
      <xdr:rowOff>19050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869950</xdr:colOff>
      <xdr:row>3</xdr:row>
      <xdr:rowOff>127000</xdr:rowOff>
    </xdr:from>
    <xdr:to>
      <xdr:col>21</xdr:col>
      <xdr:colOff>317500</xdr:colOff>
      <xdr:row>28</xdr:row>
      <xdr:rowOff>63500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869950</xdr:colOff>
      <xdr:row>30</xdr:row>
      <xdr:rowOff>38100</xdr:rowOff>
    </xdr:from>
    <xdr:to>
      <xdr:col>21</xdr:col>
      <xdr:colOff>355600</xdr:colOff>
      <xdr:row>46</xdr:row>
      <xdr:rowOff>88900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127000</xdr:colOff>
      <xdr:row>26</xdr:row>
      <xdr:rowOff>127000</xdr:rowOff>
    </xdr:from>
    <xdr:to>
      <xdr:col>14</xdr:col>
      <xdr:colOff>1143000</xdr:colOff>
      <xdr:row>37</xdr:row>
      <xdr:rowOff>101600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V="1">
          <a:off x="8585200" y="6096000"/>
          <a:ext cx="1016000" cy="22098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139700</xdr:colOff>
      <xdr:row>40</xdr:row>
      <xdr:rowOff>139700</xdr:rowOff>
    </xdr:from>
    <xdr:to>
      <xdr:col>14</xdr:col>
      <xdr:colOff>1104900</xdr:colOff>
      <xdr:row>50</xdr:row>
      <xdr:rowOff>88900</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a:off x="8597900" y="8953500"/>
          <a:ext cx="965200" cy="18288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698500</xdr:colOff>
      <xdr:row>64</xdr:row>
      <xdr:rowOff>165100</xdr:rowOff>
    </xdr:from>
    <xdr:to>
      <xdr:col>16</xdr:col>
      <xdr:colOff>1193800</xdr:colOff>
      <xdr:row>84</xdr:row>
      <xdr:rowOff>25400</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450850</xdr:colOff>
      <xdr:row>109</xdr:row>
      <xdr:rowOff>88900</xdr:rowOff>
    </xdr:from>
    <xdr:to>
      <xdr:col>10</xdr:col>
      <xdr:colOff>609600</xdr:colOff>
      <xdr:row>127</xdr:row>
      <xdr:rowOff>101600</xdr:rowOff>
    </xdr:to>
    <xdr:graphicFrame macro="">
      <xdr:nvGraphicFramePr>
        <xdr:cNvPr id="3" name="Chart 2">
          <a:extLst>
            <a:ext uri="{FF2B5EF4-FFF2-40B4-BE49-F238E27FC236}">
              <a16:creationId xmlns:a16="http://schemas.microsoft.com/office/drawing/2014/main" id="{00000000-0008-0000-1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128</xdr:row>
      <xdr:rowOff>88900</xdr:rowOff>
    </xdr:from>
    <xdr:to>
      <xdr:col>10</xdr:col>
      <xdr:colOff>596900</xdr:colOff>
      <xdr:row>145</xdr:row>
      <xdr:rowOff>165100</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165100</xdr:colOff>
      <xdr:row>0</xdr:row>
      <xdr:rowOff>0</xdr:rowOff>
    </xdr:from>
    <xdr:to>
      <xdr:col>16</xdr:col>
      <xdr:colOff>482600</xdr:colOff>
      <xdr:row>19</xdr:row>
      <xdr:rowOff>190500</xdr:rowOff>
    </xdr:to>
    <xdr:graphicFrame macro="">
      <xdr:nvGraphicFramePr>
        <xdr:cNvPr id="3" name="Chart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21</xdr:row>
      <xdr:rowOff>38100</xdr:rowOff>
    </xdr:from>
    <xdr:to>
      <xdr:col>16</xdr:col>
      <xdr:colOff>304800</xdr:colOff>
      <xdr:row>32</xdr:row>
      <xdr:rowOff>139700</xdr:rowOff>
    </xdr:to>
    <xdr:graphicFrame macro="">
      <xdr:nvGraphicFramePr>
        <xdr:cNvPr id="4" name="Chart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20</xdr:col>
      <xdr:colOff>101600</xdr:colOff>
      <xdr:row>4</xdr:row>
      <xdr:rowOff>184150</xdr:rowOff>
    </xdr:from>
    <xdr:to>
      <xdr:col>25</xdr:col>
      <xdr:colOff>546100</xdr:colOff>
      <xdr:row>17</xdr:row>
      <xdr:rowOff>82550</xdr:rowOff>
    </xdr:to>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114300</xdr:colOff>
      <xdr:row>18</xdr:row>
      <xdr:rowOff>158750</xdr:rowOff>
    </xdr:from>
    <xdr:to>
      <xdr:col>25</xdr:col>
      <xdr:colOff>558800</xdr:colOff>
      <xdr:row>31</xdr:row>
      <xdr:rowOff>57150</xdr:rowOff>
    </xdr:to>
    <xdr:graphicFrame macro="">
      <xdr:nvGraphicFramePr>
        <xdr:cNvPr id="3" name="Chart 2">
          <a:extLst>
            <a:ext uri="{FF2B5EF4-FFF2-40B4-BE49-F238E27FC236}">
              <a16:creationId xmlns:a16="http://schemas.microsoft.com/office/drawing/2014/main" id="{00000000-0008-0000-1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1"/>
  <sheetViews>
    <sheetView topLeftCell="A16" zoomScale="80" zoomScaleNormal="80" zoomScalePageLayoutView="80" workbookViewId="0">
      <selection activeCell="D28" sqref="D28"/>
    </sheetView>
  </sheetViews>
  <sheetFormatPr defaultColWidth="10.875" defaultRowHeight="15.75"/>
  <cols>
    <col min="1" max="1" width="31.125" style="271" customWidth="1"/>
    <col min="2" max="2" width="38.375" style="271" customWidth="1"/>
    <col min="3" max="3" width="15.875" style="271" customWidth="1"/>
    <col min="4" max="4" width="18.625" style="271" customWidth="1"/>
    <col min="5" max="5" width="14" style="271" customWidth="1"/>
    <col min="6" max="6" width="11.625" style="271" customWidth="1"/>
    <col min="7" max="7" width="17" style="271" customWidth="1"/>
    <col min="8" max="8" width="10.625" style="271" customWidth="1"/>
    <col min="9" max="9" width="11.375" style="271" customWidth="1"/>
    <col min="10" max="10" width="8.625" style="271" customWidth="1"/>
    <col min="11" max="16384" width="10.875" style="271"/>
  </cols>
  <sheetData>
    <row r="1" spans="1:20" ht="38.1" customHeight="1" thickBot="1">
      <c r="A1" s="870" t="s">
        <v>1612</v>
      </c>
      <c r="B1" s="270"/>
      <c r="C1" s="306"/>
      <c r="D1" s="1340" t="s">
        <v>177</v>
      </c>
      <c r="E1" s="1341">
        <f>'Pools, Rates, Reference'!B25+C49</f>
        <v>220567027.67101803</v>
      </c>
      <c r="F1" s="1342" t="str">
        <f>IF((E1=E2),"OK","ERROR")</f>
        <v>OK</v>
      </c>
      <c r="G1" s="297"/>
      <c r="H1" s="1910" t="s">
        <v>955</v>
      </c>
      <c r="I1" s="1911"/>
      <c r="J1" s="1911"/>
      <c r="K1" s="1911"/>
      <c r="L1" s="1912"/>
      <c r="M1" s="851" t="s">
        <v>176</v>
      </c>
      <c r="N1" s="306"/>
      <c r="P1" s="306"/>
      <c r="Q1"/>
      <c r="R1"/>
      <c r="S1"/>
      <c r="T1"/>
    </row>
    <row r="2" spans="1:20" ht="29.1" customHeight="1" thickBot="1">
      <c r="A2" s="1326" t="s">
        <v>1479</v>
      </c>
      <c r="B2" s="1533">
        <v>43320</v>
      </c>
      <c r="C2" s="306"/>
      <c r="D2" s="1343" t="s">
        <v>293</v>
      </c>
      <c r="E2" s="1344">
        <f>D42</f>
        <v>220567027.67101803</v>
      </c>
      <c r="F2" s="1345"/>
      <c r="G2" s="306"/>
      <c r="H2" s="1913" t="s">
        <v>1095</v>
      </c>
      <c r="I2" s="1914"/>
      <c r="J2" s="1914"/>
      <c r="K2" s="1914"/>
      <c r="L2" s="1915"/>
      <c r="M2" s="851" t="s">
        <v>812</v>
      </c>
      <c r="N2" s="306"/>
      <c r="O2" s="306"/>
      <c r="P2" s="306"/>
      <c r="Q2" s="306"/>
      <c r="R2" s="306"/>
      <c r="S2" s="306"/>
      <c r="T2" s="306"/>
    </row>
    <row r="3" spans="1:20" ht="30" customHeight="1">
      <c r="A3" s="1920"/>
      <c r="B3" s="1920"/>
      <c r="C3" s="1920"/>
      <c r="D3" s="1920"/>
      <c r="E3" s="1920"/>
      <c r="F3" s="1920"/>
      <c r="G3" s="306"/>
      <c r="H3" s="306"/>
      <c r="I3" s="306"/>
      <c r="J3" s="306"/>
      <c r="K3" s="380"/>
      <c r="L3" s="380"/>
      <c r="M3" s="380"/>
      <c r="N3" s="380"/>
      <c r="O3"/>
      <c r="P3"/>
      <c r="Q3" s="306"/>
      <c r="R3" s="306"/>
      <c r="S3" s="306"/>
      <c r="T3" s="306"/>
    </row>
    <row r="4" spans="1:20" ht="16.5" thickBot="1">
      <c r="A4" s="275"/>
      <c r="B4" s="275"/>
      <c r="C4" s="275"/>
      <c r="D4" s="275"/>
      <c r="E4" s="275"/>
      <c r="F4" s="275"/>
      <c r="G4" s="306"/>
      <c r="H4" s="306"/>
      <c r="I4" s="306"/>
      <c r="J4" s="306"/>
      <c r="K4" s="306"/>
      <c r="L4" s="306"/>
      <c r="M4" s="306"/>
      <c r="N4" s="306"/>
    </row>
    <row r="5" spans="1:20">
      <c r="A5" s="1346" t="s">
        <v>1324</v>
      </c>
      <c r="B5" s="1347"/>
      <c r="C5" s="1348">
        <f>'Pools, Rates, Reference'!B6</f>
        <v>597416226.57626891</v>
      </c>
      <c r="D5" s="306"/>
      <c r="E5" s="306"/>
      <c r="F5" s="306"/>
      <c r="G5" s="306"/>
      <c r="H5" s="306"/>
      <c r="I5" s="306"/>
      <c r="J5" s="306"/>
      <c r="K5" s="306"/>
      <c r="L5" s="306"/>
      <c r="M5" s="306"/>
      <c r="N5" s="306"/>
    </row>
    <row r="6" spans="1:20" ht="16.5" thickBot="1">
      <c r="A6" s="1349" t="s">
        <v>1325</v>
      </c>
      <c r="B6" s="1350"/>
      <c r="C6" s="1351">
        <f>'Step 7 Final Adjustments'!R59</f>
        <v>597416226.57626891</v>
      </c>
      <c r="D6" s="306"/>
      <c r="E6" s="306"/>
      <c r="F6" s="306"/>
      <c r="G6" s="306"/>
      <c r="H6" s="306"/>
      <c r="I6" s="306"/>
      <c r="J6" s="306"/>
      <c r="K6" s="306"/>
      <c r="L6" s="306"/>
      <c r="M6" s="306"/>
      <c r="N6" s="306"/>
    </row>
    <row r="7" spans="1:20" ht="15" customHeight="1">
      <c r="A7" s="306"/>
      <c r="B7" s="306"/>
      <c r="C7" s="306"/>
      <c r="D7" s="306"/>
      <c r="E7" s="306"/>
      <c r="F7" s="306"/>
      <c r="G7" s="306"/>
      <c r="H7" s="306"/>
      <c r="I7" s="306"/>
      <c r="J7" s="306"/>
      <c r="K7" s="306"/>
      <c r="L7" s="306"/>
      <c r="M7" s="306"/>
      <c r="N7" s="306"/>
    </row>
    <row r="8" spans="1:20" ht="17.100000000000001" customHeight="1">
      <c r="A8" s="1352" t="s">
        <v>1350</v>
      </c>
      <c r="B8" s="306"/>
      <c r="C8" s="306"/>
      <c r="D8" s="306"/>
      <c r="E8" s="306"/>
      <c r="F8" s="306"/>
      <c r="G8" s="306"/>
      <c r="H8" s="306"/>
      <c r="I8" s="306"/>
      <c r="J8" s="306"/>
      <c r="K8" s="306"/>
      <c r="L8" s="306"/>
      <c r="M8" s="306"/>
      <c r="N8" s="306"/>
    </row>
    <row r="9" spans="1:20" ht="15" customHeight="1" thickBot="1">
      <c r="A9" s="1921"/>
      <c r="B9" s="1921"/>
      <c r="C9" s="1353"/>
      <c r="D9" s="306"/>
      <c r="E9" s="306"/>
      <c r="F9" s="306"/>
      <c r="G9" s="306"/>
      <c r="H9" s="306"/>
      <c r="I9" s="306"/>
      <c r="J9" s="306"/>
      <c r="K9" s="306"/>
      <c r="L9" s="306"/>
      <c r="M9" s="306"/>
      <c r="N9" s="306"/>
    </row>
    <row r="10" spans="1:20" ht="16.5" thickBot="1">
      <c r="A10" s="857" t="s">
        <v>959</v>
      </c>
      <c r="B10" s="858"/>
      <c r="C10" s="1354">
        <v>3.5000000000000003E-2</v>
      </c>
      <c r="D10" s="306"/>
      <c r="E10" s="306"/>
      <c r="F10" s="863" t="s">
        <v>775</v>
      </c>
      <c r="G10" s="863"/>
      <c r="H10" s="863"/>
      <c r="I10" s="863"/>
      <c r="J10" s="306"/>
      <c r="K10" s="306"/>
      <c r="L10" s="306"/>
      <c r="M10" s="306"/>
      <c r="N10" s="306"/>
    </row>
    <row r="11" spans="1:20" ht="15.95" customHeight="1">
      <c r="A11" s="859" t="s">
        <v>960</v>
      </c>
      <c r="B11" s="860"/>
      <c r="C11" s="1355">
        <v>0.02</v>
      </c>
      <c r="D11" s="306"/>
      <c r="E11" s="306"/>
      <c r="F11" s="857" t="str">
        <f>'Allocation by Category'!A43</f>
        <v>Undergraduate revenues:</v>
      </c>
      <c r="G11" s="858"/>
      <c r="H11" s="1327">
        <f>'Allocation by Category'!C43</f>
        <v>0.69103299338990665</v>
      </c>
      <c r="I11" s="1328">
        <f>'Allocation by Category'!D43</f>
        <v>0.79474628995253738</v>
      </c>
      <c r="J11" s="306"/>
      <c r="K11" s="306"/>
      <c r="L11" s="306"/>
      <c r="M11" s="306"/>
      <c r="N11" s="306"/>
    </row>
    <row r="12" spans="1:20" ht="18.95" customHeight="1">
      <c r="A12" s="859" t="s">
        <v>162</v>
      </c>
      <c r="B12" s="860"/>
      <c r="C12" s="1355">
        <v>7.3999999999999996E-2</v>
      </c>
      <c r="D12" s="306"/>
      <c r="E12" s="306"/>
      <c r="F12" s="859" t="str">
        <f>'Allocation by Category'!A44</f>
        <v>Graduate revenues:</v>
      </c>
      <c r="G12" s="860"/>
      <c r="H12" s="1329">
        <f>'Allocation by Category'!C44</f>
        <v>0.16852331616391486</v>
      </c>
      <c r="I12" s="1330">
        <f>'Allocation by Category'!D44</f>
        <v>0.19381604289941573</v>
      </c>
      <c r="J12" s="306"/>
      <c r="K12" s="306"/>
      <c r="L12" s="306"/>
      <c r="M12" s="306"/>
      <c r="N12" s="306"/>
    </row>
    <row r="13" spans="1:20" ht="18.95" customHeight="1">
      <c r="A13" s="1356" t="s">
        <v>1115</v>
      </c>
      <c r="B13" s="1357"/>
      <c r="C13" s="1358" t="s">
        <v>176</v>
      </c>
      <c r="D13" s="306"/>
      <c r="E13" s="306"/>
      <c r="F13" s="859" t="str">
        <f>'Allocation by Category'!A45</f>
        <v>General research revenues:</v>
      </c>
      <c r="G13" s="860"/>
      <c r="H13" s="1329">
        <f>'Allocation by Category'!C45</f>
        <v>9.9450673336067483E-3</v>
      </c>
      <c r="I13" s="1330">
        <f>'Allocation by Category'!D45</f>
        <v>1.143766714804674E-2</v>
      </c>
      <c r="J13" s="306"/>
      <c r="K13" s="306"/>
      <c r="L13" s="306"/>
      <c r="M13" s="306"/>
      <c r="N13" s="306"/>
    </row>
    <row r="14" spans="1:20" ht="20.100000000000001" customHeight="1" thickBot="1">
      <c r="A14" s="1349" t="s">
        <v>867</v>
      </c>
      <c r="B14" s="1350"/>
      <c r="C14" s="1359" t="s">
        <v>176</v>
      </c>
      <c r="D14" s="306"/>
      <c r="E14" s="306"/>
      <c r="F14" s="861" t="str">
        <f>'Allocation by Category'!A46</f>
        <v>Earmarked revenues:</v>
      </c>
      <c r="G14" s="862"/>
      <c r="H14" s="1331">
        <f>'Allocation by Category'!C46</f>
        <v>0.13049862311257163</v>
      </c>
      <c r="I14" s="1332">
        <f>'Allocation by Category'!D46</f>
        <v>0</v>
      </c>
      <c r="J14" s="306"/>
      <c r="K14" s="306"/>
      <c r="L14" s="306"/>
      <c r="M14" s="306"/>
      <c r="N14" s="306"/>
    </row>
    <row r="15" spans="1:20" ht="18.95" customHeight="1">
      <c r="A15" s="380"/>
      <c r="B15" s="380"/>
      <c r="C15" s="380"/>
      <c r="D15" s="380"/>
      <c r="E15" s="306"/>
      <c r="F15" s="306"/>
      <c r="G15" s="306"/>
      <c r="H15" s="306"/>
      <c r="I15" s="306"/>
      <c r="J15" s="306"/>
      <c r="K15" s="306"/>
      <c r="L15" s="306"/>
      <c r="M15" s="306"/>
      <c r="N15" s="306"/>
    </row>
    <row r="16" spans="1:20" ht="18.95" customHeight="1" thickBot="1">
      <c r="A16" s="306"/>
      <c r="B16" s="306"/>
      <c r="C16" s="306"/>
      <c r="D16" s="860"/>
      <c r="E16" s="306"/>
      <c r="F16" s="863" t="s">
        <v>776</v>
      </c>
      <c r="G16" s="863"/>
      <c r="H16" s="863"/>
      <c r="I16" s="863"/>
      <c r="J16" s="306"/>
      <c r="K16" s="306"/>
      <c r="L16" s="306"/>
      <c r="M16" s="306"/>
      <c r="N16" s="306"/>
    </row>
    <row r="17" spans="1:14" ht="18.95" customHeight="1">
      <c r="A17" s="1352" t="s">
        <v>1351</v>
      </c>
      <c r="B17" s="306"/>
      <c r="C17" s="306"/>
      <c r="D17" s="860"/>
      <c r="E17" s="306"/>
      <c r="F17" s="857" t="str">
        <f>'Allocation by Category'!A68</f>
        <v>Foundation Credit Hour Measures</v>
      </c>
      <c r="G17" s="858"/>
      <c r="H17" s="864">
        <f>'Allocation by Category'!C68</f>
        <v>0.3247677563723384</v>
      </c>
      <c r="I17" s="1333"/>
      <c r="J17" s="306"/>
      <c r="K17" s="306"/>
      <c r="L17" s="306"/>
      <c r="M17" s="306"/>
      <c r="N17" s="306"/>
    </row>
    <row r="18" spans="1:14" ht="18.95" customHeight="1" thickBot="1">
      <c r="A18" s="306"/>
      <c r="B18" s="306"/>
      <c r="C18" s="306"/>
      <c r="D18" s="306"/>
      <c r="E18" s="306"/>
      <c r="F18" s="859"/>
      <c r="G18" s="860"/>
      <c r="H18" s="1334"/>
      <c r="I18" s="1335"/>
      <c r="J18" s="306"/>
      <c r="K18" s="306"/>
      <c r="L18" s="306"/>
      <c r="M18" s="306"/>
      <c r="N18" s="306"/>
    </row>
    <row r="19" spans="1:14" ht="18.95" customHeight="1" thickBot="1">
      <c r="A19" s="1360" t="s">
        <v>290</v>
      </c>
      <c r="B19" s="1361" t="s">
        <v>249</v>
      </c>
      <c r="C19" s="1362" t="s">
        <v>291</v>
      </c>
      <c r="D19" s="1362" t="s">
        <v>292</v>
      </c>
      <c r="E19" s="306"/>
      <c r="F19" s="859" t="str">
        <f>'Allocation by Category'!A70</f>
        <v>Undergraduate Allocations</v>
      </c>
      <c r="G19" s="860"/>
      <c r="H19" s="856">
        <f>'Allocation by Category'!C70</f>
        <v>0.75524877267464796</v>
      </c>
      <c r="I19" s="1335"/>
      <c r="J19" s="306"/>
      <c r="K19" s="306"/>
      <c r="L19" s="306"/>
      <c r="M19" s="306"/>
      <c r="N19" s="306"/>
    </row>
    <row r="20" spans="1:14">
      <c r="A20" s="1363" t="s">
        <v>251</v>
      </c>
      <c r="B20" s="1364" t="s">
        <v>294</v>
      </c>
      <c r="C20" s="1918">
        <v>0.44</v>
      </c>
      <c r="D20" s="1916">
        <f>C20*(E$1-D$28-D$29)</f>
        <v>70041212.957400188</v>
      </c>
      <c r="E20" s="306"/>
      <c r="F20" s="859" t="str">
        <f>'Allocation by Category'!A71</f>
        <v>Graduate Allocations</v>
      </c>
      <c r="G20" s="860"/>
      <c r="H20" s="856">
        <f>'Allocation by Category'!C71</f>
        <v>0.20866592106175877</v>
      </c>
      <c r="I20" s="1335"/>
      <c r="J20" s="306"/>
      <c r="K20" s="306"/>
      <c r="L20" s="306"/>
      <c r="M20" s="306"/>
      <c r="N20" s="306"/>
    </row>
    <row r="21" spans="1:14" ht="16.5" thickBot="1">
      <c r="A21" s="1365"/>
      <c r="B21" s="1366" t="s">
        <v>403</v>
      </c>
      <c r="C21" s="1919"/>
      <c r="D21" s="1917"/>
      <c r="E21" s="306"/>
      <c r="F21" s="861" t="str">
        <f>'Allocation by Category'!A72</f>
        <v>Research Allocations</v>
      </c>
      <c r="G21" s="862"/>
      <c r="H21" s="865">
        <f>'Allocation by Category'!C72</f>
        <v>3.6085306263593159E-2</v>
      </c>
      <c r="I21" s="1336"/>
      <c r="J21" s="306"/>
      <c r="K21" s="306"/>
      <c r="L21" s="306"/>
      <c r="M21" s="306"/>
      <c r="N21" s="306"/>
    </row>
    <row r="22" spans="1:14">
      <c r="A22" s="1365"/>
      <c r="B22" s="1366" t="s">
        <v>404</v>
      </c>
      <c r="C22" s="1919"/>
      <c r="D22" s="1917"/>
      <c r="E22" s="306"/>
      <c r="F22" s="306"/>
      <c r="G22" s="306"/>
      <c r="H22" s="306"/>
      <c r="I22" s="306"/>
      <c r="J22" s="306"/>
      <c r="K22" s="306"/>
      <c r="L22" s="306"/>
      <c r="M22" s="306"/>
      <c r="N22" s="306"/>
    </row>
    <row r="23" spans="1:14" ht="16.5" thickBot="1">
      <c r="A23" s="1367"/>
      <c r="B23" s="1368" t="s">
        <v>253</v>
      </c>
      <c r="C23" s="1369">
        <v>5.0000000000000001E-3</v>
      </c>
      <c r="D23" s="1370">
        <f>C23*(E$1-D$28-D$29)</f>
        <v>795922.87451591121</v>
      </c>
      <c r="E23" s="306"/>
      <c r="F23" s="306"/>
      <c r="G23" s="306"/>
      <c r="H23" s="306"/>
      <c r="I23" s="306"/>
      <c r="J23" s="306"/>
      <c r="K23" s="306"/>
      <c r="L23" s="306"/>
      <c r="M23" s="306"/>
      <c r="N23" s="306"/>
    </row>
    <row r="24" spans="1:14">
      <c r="A24" s="1363" t="s">
        <v>289</v>
      </c>
      <c r="B24" s="1364" t="s">
        <v>178</v>
      </c>
      <c r="C24" s="1371">
        <v>0.15</v>
      </c>
      <c r="D24" s="1372">
        <f>C24*(E$1-D$28-D$29)</f>
        <v>23877686.235477336</v>
      </c>
      <c r="E24" s="306"/>
      <c r="F24" s="306"/>
      <c r="G24" s="306"/>
      <c r="H24" s="306"/>
      <c r="I24" s="306"/>
      <c r="J24" s="306"/>
      <c r="K24" s="306"/>
      <c r="L24" s="306"/>
      <c r="M24" s="306"/>
      <c r="N24" s="306"/>
    </row>
    <row r="25" spans="1:14" ht="16.5" thickBot="1">
      <c r="A25" s="1367"/>
      <c r="B25" s="1368" t="s">
        <v>252</v>
      </c>
      <c r="C25" s="1369">
        <v>0.11</v>
      </c>
      <c r="D25" s="1370">
        <f>C25*(E$1-D$28-D$29)</f>
        <v>17510303.239350047</v>
      </c>
      <c r="E25" s="306"/>
      <c r="F25" s="306"/>
      <c r="G25" s="306"/>
      <c r="H25" s="306"/>
      <c r="I25" s="306"/>
      <c r="J25" s="306"/>
      <c r="K25" s="306"/>
      <c r="L25" s="306"/>
      <c r="M25" s="306"/>
      <c r="N25" s="306"/>
    </row>
    <row r="26" spans="1:14">
      <c r="A26" s="1363" t="s">
        <v>254</v>
      </c>
      <c r="B26" s="1364" t="s">
        <v>16</v>
      </c>
      <c r="C26" s="1371">
        <v>0.12</v>
      </c>
      <c r="D26" s="1372">
        <f>C26*(E$1-D$28-D$29)</f>
        <v>19102148.988381866</v>
      </c>
      <c r="E26" s="306"/>
      <c r="F26" s="306"/>
      <c r="G26" s="306"/>
      <c r="H26" s="306"/>
      <c r="I26" s="306"/>
      <c r="J26" s="306"/>
      <c r="K26" s="306"/>
      <c r="L26" s="306"/>
      <c r="M26" s="306"/>
      <c r="N26" s="306"/>
    </row>
    <row r="27" spans="1:14" ht="16.5" thickBot="1">
      <c r="A27" s="1367"/>
      <c r="B27" s="1373" t="s">
        <v>160</v>
      </c>
      <c r="C27" s="1369">
        <v>0.08</v>
      </c>
      <c r="D27" s="1370">
        <f>C27*(E$1-D$28-D$29)</f>
        <v>12734765.992254579</v>
      </c>
      <c r="E27" s="306"/>
      <c r="F27" s="306"/>
      <c r="G27" s="306"/>
      <c r="H27" s="306"/>
      <c r="I27" s="306"/>
      <c r="J27" s="306"/>
      <c r="K27" s="306"/>
      <c r="L27" s="306"/>
      <c r="M27" s="306"/>
      <c r="N27" s="306"/>
    </row>
    <row r="28" spans="1:14" ht="16.5" thickBot="1">
      <c r="A28" s="1922" t="s">
        <v>305</v>
      </c>
      <c r="B28" s="1364" t="s">
        <v>702</v>
      </c>
      <c r="C28" s="1374"/>
      <c r="D28" s="1372">
        <f>'Pools, Rates, Reference'!E10</f>
        <v>53074615.693149813</v>
      </c>
      <c r="E28" s="306"/>
      <c r="F28" s="306"/>
      <c r="G28" s="306"/>
      <c r="H28" s="306"/>
      <c r="I28" s="306"/>
      <c r="J28" s="306"/>
      <c r="K28" s="306"/>
      <c r="L28" s="306"/>
      <c r="M28" s="306"/>
      <c r="N28" s="306"/>
    </row>
    <row r="29" spans="1:14">
      <c r="A29" s="1923"/>
      <c r="B29" s="1366" t="s">
        <v>703</v>
      </c>
      <c r="C29" s="1375" t="s">
        <v>1354</v>
      </c>
      <c r="D29" s="1372">
        <f>'Pools, Rates, Reference'!E11</f>
        <v>8307837.0746859983</v>
      </c>
      <c r="E29" s="380"/>
      <c r="F29" s="380"/>
      <c r="G29" s="311"/>
      <c r="H29" s="306"/>
      <c r="I29" s="306"/>
      <c r="J29" s="306"/>
      <c r="K29" s="306"/>
      <c r="L29" s="306"/>
      <c r="M29" s="306"/>
      <c r="N29" s="306"/>
    </row>
    <row r="30" spans="1:14">
      <c r="A30" s="1923"/>
      <c r="B30" s="1366" t="s">
        <v>637</v>
      </c>
      <c r="C30" s="1375"/>
      <c r="D30" s="1376">
        <v>0</v>
      </c>
      <c r="E30" s="380"/>
      <c r="F30" s="380"/>
      <c r="G30" s="311"/>
      <c r="H30" s="306"/>
      <c r="I30" s="306"/>
      <c r="J30" s="306"/>
      <c r="K30" s="306"/>
      <c r="L30" s="306"/>
      <c r="M30" s="306"/>
      <c r="N30" s="306"/>
    </row>
    <row r="31" spans="1:14" ht="16.5" thickBot="1">
      <c r="A31" s="1924"/>
      <c r="B31" s="1373" t="s">
        <v>255</v>
      </c>
      <c r="C31" s="1377">
        <v>0</v>
      </c>
      <c r="D31" s="1378">
        <f>C31*E$1</f>
        <v>0</v>
      </c>
      <c r="E31" s="380"/>
      <c r="F31" s="380"/>
      <c r="G31" s="311"/>
      <c r="H31" s="306"/>
      <c r="I31" s="1337"/>
      <c r="J31" s="306"/>
      <c r="K31" s="306"/>
      <c r="L31" s="306"/>
      <c r="M31" s="306"/>
      <c r="N31" s="306"/>
    </row>
    <row r="32" spans="1:14" ht="16.5" thickBot="1">
      <c r="A32" s="1379" t="s">
        <v>284</v>
      </c>
      <c r="B32" s="1380" t="s">
        <v>161</v>
      </c>
      <c r="C32" s="1381">
        <v>0.05</v>
      </c>
      <c r="D32" s="1370">
        <f>C32*(E$1-D$28-D$29)</f>
        <v>7959228.7451591119</v>
      </c>
      <c r="E32" s="380"/>
      <c r="F32" s="380"/>
      <c r="G32" s="306"/>
      <c r="H32" s="306"/>
      <c r="I32" s="306"/>
      <c r="J32" s="306"/>
      <c r="K32" s="306"/>
      <c r="L32" s="306"/>
      <c r="M32" s="306"/>
      <c r="N32" s="306"/>
    </row>
    <row r="33" spans="1:14" ht="17.100000000000001" customHeight="1">
      <c r="A33" s="1382" t="s">
        <v>285</v>
      </c>
      <c r="B33" s="1383" t="s">
        <v>638</v>
      </c>
      <c r="C33" s="1907">
        <v>0.04</v>
      </c>
      <c r="D33" s="1904">
        <f>C33*(E1-D28-D29)</f>
        <v>6367382.9961272897</v>
      </c>
      <c r="E33" s="380"/>
      <c r="F33" s="380"/>
      <c r="G33" s="312"/>
      <c r="H33" s="306"/>
      <c r="I33" s="278"/>
      <c r="J33" s="306"/>
      <c r="K33" s="306"/>
      <c r="L33" s="306"/>
      <c r="M33" s="306"/>
      <c r="N33" s="306"/>
    </row>
    <row r="34" spans="1:14" ht="17.100000000000001" customHeight="1">
      <c r="A34" s="1384" t="s">
        <v>640</v>
      </c>
      <c r="B34" s="1385">
        <v>1.4</v>
      </c>
      <c r="C34" s="1908"/>
      <c r="D34" s="1905"/>
      <c r="E34" s="380"/>
      <c r="F34" s="380"/>
      <c r="G34" s="312"/>
      <c r="H34" s="306"/>
      <c r="I34" s="278"/>
      <c r="J34" s="306"/>
      <c r="K34" s="306"/>
      <c r="L34" s="306"/>
      <c r="M34" s="306"/>
      <c r="N34" s="306"/>
    </row>
    <row r="35" spans="1:14" ht="17.100000000000001" customHeight="1">
      <c r="A35" s="1384" t="s">
        <v>639</v>
      </c>
      <c r="B35" s="1385">
        <v>1.2</v>
      </c>
      <c r="C35" s="1908"/>
      <c r="D35" s="1905"/>
      <c r="E35" s="380"/>
      <c r="F35" s="380"/>
      <c r="G35" s="312"/>
      <c r="H35" s="306"/>
      <c r="I35" s="278"/>
      <c r="J35" s="306"/>
      <c r="K35" s="306"/>
      <c r="L35" s="306"/>
      <c r="M35" s="306"/>
      <c r="N35" s="306"/>
    </row>
    <row r="36" spans="1:14">
      <c r="A36" s="1384" t="s">
        <v>580</v>
      </c>
      <c r="B36" s="1385">
        <v>0.3</v>
      </c>
      <c r="C36" s="1908"/>
      <c r="D36" s="1905"/>
      <c r="E36" s="380"/>
      <c r="F36" s="380"/>
      <c r="G36" s="306"/>
      <c r="H36" s="306"/>
      <c r="I36" s="278"/>
      <c r="J36" s="306"/>
      <c r="K36" s="306"/>
      <c r="L36" s="306"/>
      <c r="M36" s="306"/>
      <c r="N36" s="306"/>
    </row>
    <row r="37" spans="1:14">
      <c r="A37" s="1384"/>
      <c r="B37" s="1386"/>
      <c r="C37" s="1908"/>
      <c r="D37" s="1905"/>
      <c r="E37" s="380"/>
      <c r="F37" s="380"/>
      <c r="G37" s="1338"/>
      <c r="H37" s="1338"/>
      <c r="I37" s="278"/>
      <c r="J37" s="306"/>
      <c r="K37" s="306"/>
      <c r="L37" s="306"/>
      <c r="M37" s="306"/>
      <c r="N37" s="306"/>
    </row>
    <row r="38" spans="1:14" ht="16.5" thickBot="1">
      <c r="A38" s="1384"/>
      <c r="B38" s="1386"/>
      <c r="C38" s="1909"/>
      <c r="D38" s="1906"/>
      <c r="E38" s="380"/>
      <c r="F38" s="380"/>
      <c r="G38" s="306"/>
      <c r="H38" s="306"/>
      <c r="I38" s="278"/>
      <c r="J38" s="306"/>
      <c r="K38" s="306"/>
      <c r="L38" s="306"/>
      <c r="M38" s="306"/>
      <c r="N38" s="306"/>
    </row>
    <row r="39" spans="1:14" ht="16.5" thickBot="1">
      <c r="A39" s="1387" t="s">
        <v>641</v>
      </c>
      <c r="B39" s="1388"/>
      <c r="C39" s="1389">
        <v>5.0000000000000001E-3</v>
      </c>
      <c r="D39" s="1370">
        <f>C39*(E$1-D$28-D$29)</f>
        <v>795922.87451591121</v>
      </c>
      <c r="E39" s="380"/>
      <c r="F39" s="380"/>
      <c r="G39" s="1339"/>
      <c r="H39" s="306"/>
      <c r="I39" s="278"/>
      <c r="J39" s="1339"/>
      <c r="K39" s="306"/>
      <c r="L39" s="306"/>
      <c r="M39" s="306"/>
      <c r="N39" s="306"/>
    </row>
    <row r="40" spans="1:14">
      <c r="A40" s="380"/>
      <c r="B40" s="380"/>
      <c r="C40" s="380"/>
      <c r="D40" s="380"/>
      <c r="E40" s="380"/>
      <c r="F40" s="380"/>
      <c r="G40" s="1339"/>
      <c r="H40" s="306"/>
      <c r="I40" s="306"/>
      <c r="J40" s="306"/>
      <c r="K40" s="306"/>
      <c r="L40" s="306"/>
      <c r="M40" s="306"/>
      <c r="N40" s="306"/>
    </row>
    <row r="41" spans="1:14">
      <c r="A41" s="306"/>
      <c r="B41" s="306"/>
      <c r="C41" s="306"/>
      <c r="D41" s="306"/>
      <c r="E41" s="380"/>
      <c r="F41" s="380"/>
      <c r="G41" s="306"/>
      <c r="H41" s="306"/>
      <c r="I41" s="306"/>
      <c r="J41" s="306"/>
      <c r="K41" s="306"/>
      <c r="L41" s="306"/>
      <c r="M41" s="306"/>
      <c r="N41" s="306"/>
    </row>
    <row r="42" spans="1:14">
      <c r="A42" s="282" t="s">
        <v>15</v>
      </c>
      <c r="B42" s="282"/>
      <c r="C42" s="1390">
        <f>SUM(C20:C39)</f>
        <v>1</v>
      </c>
      <c r="D42" s="1391">
        <f>SUM(D20:D39)</f>
        <v>220567027.67101803</v>
      </c>
      <c r="E42" s="380"/>
      <c r="F42" s="380"/>
      <c r="G42" s="306"/>
      <c r="H42" s="306"/>
      <c r="I42" s="306"/>
      <c r="J42" s="306"/>
      <c r="K42" s="306"/>
      <c r="L42" s="306"/>
      <c r="M42" s="306"/>
      <c r="N42" s="306"/>
    </row>
    <row r="43" spans="1:14" ht="15" customHeight="1">
      <c r="A43" s="306"/>
      <c r="B43" s="306"/>
      <c r="C43" s="306"/>
      <c r="D43" s="1338"/>
      <c r="E43" s="380"/>
      <c r="F43" s="380"/>
      <c r="G43" s="306"/>
      <c r="H43" s="306"/>
      <c r="I43" s="306"/>
      <c r="J43" s="306"/>
      <c r="K43" s="306"/>
      <c r="L43" s="306"/>
      <c r="M43" s="306"/>
      <c r="N43" s="306"/>
    </row>
    <row r="44" spans="1:14">
      <c r="A44" s="306"/>
      <c r="B44" s="1392"/>
      <c r="C44" s="306"/>
      <c r="D44" s="1338"/>
      <c r="E44" s="380"/>
      <c r="F44" s="380"/>
      <c r="G44" s="306"/>
      <c r="H44" s="306"/>
      <c r="I44" s="306"/>
      <c r="J44" s="306"/>
      <c r="K44" s="306"/>
      <c r="L44" s="306"/>
      <c r="M44" s="306"/>
      <c r="N44" s="306"/>
    </row>
    <row r="45" spans="1:14">
      <c r="A45" s="1352" t="s">
        <v>1352</v>
      </c>
      <c r="B45" s="306"/>
      <c r="C45" s="306"/>
      <c r="D45" s="306"/>
      <c r="E45" s="380"/>
      <c r="F45" s="380"/>
      <c r="G45" s="306"/>
      <c r="H45" s="306"/>
      <c r="I45" s="306"/>
      <c r="J45" s="306"/>
      <c r="K45" s="306"/>
      <c r="L45" s="306"/>
      <c r="M45" s="306"/>
      <c r="N45" s="306"/>
    </row>
    <row r="46" spans="1:14" ht="21.95" customHeight="1">
      <c r="A46" s="306" t="s">
        <v>1353</v>
      </c>
      <c r="B46" s="306"/>
      <c r="C46" s="306"/>
      <c r="D46" s="1338"/>
      <c r="E46" s="380"/>
      <c r="F46" s="380"/>
      <c r="G46" s="306"/>
      <c r="H46" s="306"/>
      <c r="I46" s="306"/>
      <c r="J46" s="306"/>
      <c r="K46" s="306"/>
      <c r="L46" s="306"/>
      <c r="M46" s="306"/>
      <c r="N46" s="306"/>
    </row>
    <row r="47" spans="1:14">
      <c r="A47" s="306"/>
      <c r="B47" s="306"/>
      <c r="C47" s="306"/>
      <c r="D47" s="306"/>
      <c r="E47" s="380"/>
      <c r="F47" s="380"/>
      <c r="G47" s="306"/>
      <c r="H47" s="306"/>
      <c r="I47" s="306"/>
      <c r="J47" s="306"/>
      <c r="K47" s="306"/>
      <c r="L47" s="306"/>
      <c r="M47" s="306"/>
      <c r="N47" s="306"/>
    </row>
    <row r="48" spans="1:14">
      <c r="A48" s="1322" t="s">
        <v>303</v>
      </c>
      <c r="B48" s="1322"/>
      <c r="C48" s="965">
        <f>'Step 6a Service-Support Detail'!K57</f>
        <v>2024705.2757816743</v>
      </c>
      <c r="D48" s="306"/>
      <c r="E48" s="380"/>
      <c r="F48" s="380"/>
      <c r="G48" s="306"/>
      <c r="H48" s="306"/>
      <c r="I48" s="306"/>
      <c r="J48" s="306"/>
      <c r="K48" s="306"/>
      <c r="L48" s="306"/>
      <c r="M48" s="306"/>
      <c r="N48" s="306"/>
    </row>
    <row r="49" spans="1:14">
      <c r="A49" s="1322" t="s">
        <v>304</v>
      </c>
      <c r="B49" s="1322"/>
      <c r="C49" s="965">
        <v>0</v>
      </c>
      <c r="D49" s="275"/>
      <c r="E49" s="380"/>
      <c r="F49" s="380"/>
      <c r="G49" s="306"/>
      <c r="H49" s="306"/>
      <c r="I49" s="306"/>
      <c r="J49" s="306"/>
      <c r="K49" s="306"/>
      <c r="L49" s="306"/>
      <c r="M49" s="306"/>
      <c r="N49" s="306"/>
    </row>
    <row r="50" spans="1:14">
      <c r="A50" s="380"/>
      <c r="B50" s="380"/>
      <c r="C50" s="380"/>
      <c r="D50" s="380"/>
      <c r="E50" s="380"/>
      <c r="F50" s="380"/>
      <c r="G50" s="306"/>
      <c r="H50" s="306"/>
      <c r="I50" s="306"/>
      <c r="J50" s="306"/>
      <c r="K50" s="306"/>
      <c r="L50" s="306"/>
      <c r="M50" s="306"/>
      <c r="N50" s="306"/>
    </row>
    <row r="51" spans="1:14">
      <c r="A51" s="380"/>
      <c r="B51" s="380"/>
      <c r="C51" s="380"/>
      <c r="D51" s="380"/>
      <c r="E51" s="275"/>
      <c r="F51" s="275"/>
      <c r="G51" s="306"/>
      <c r="H51" s="306"/>
      <c r="I51" s="306"/>
      <c r="J51" s="306"/>
      <c r="K51" s="306"/>
      <c r="L51" s="306"/>
      <c r="M51" s="306"/>
      <c r="N51" s="306"/>
    </row>
    <row r="52" spans="1:14">
      <c r="A52" s="380"/>
      <c r="B52" s="380"/>
      <c r="C52" s="380"/>
      <c r="D52" s="380"/>
      <c r="E52" s="275"/>
      <c r="F52" s="275"/>
      <c r="G52" s="306"/>
      <c r="H52" s="306"/>
      <c r="I52" s="306"/>
      <c r="J52" s="306"/>
      <c r="K52" s="306"/>
      <c r="L52" s="306"/>
      <c r="M52" s="306"/>
      <c r="N52" s="306"/>
    </row>
    <row r="53" spans="1:14">
      <c r="A53" s="380"/>
      <c r="B53" s="380"/>
      <c r="C53" s="380" t="s">
        <v>1882</v>
      </c>
      <c r="D53" s="639">
        <f>SUM(D20:D23)</f>
        <v>70837135.831916094</v>
      </c>
      <c r="E53" s="275"/>
      <c r="F53" s="298"/>
      <c r="G53" s="306"/>
      <c r="H53" s="306"/>
      <c r="I53" s="306"/>
      <c r="J53" s="306"/>
      <c r="K53" s="306"/>
      <c r="L53" s="306"/>
      <c r="M53" s="306"/>
      <c r="N53" s="306"/>
    </row>
    <row r="54" spans="1:14">
      <c r="A54" s="380"/>
      <c r="B54" s="380"/>
      <c r="C54" s="380" t="s">
        <v>1883</v>
      </c>
      <c r="D54" s="639">
        <f>SUM(D24:D25)</f>
        <v>41387989.474827379</v>
      </c>
      <c r="E54" s="284"/>
      <c r="F54" s="285"/>
      <c r="G54" s="306"/>
      <c r="H54" s="306"/>
      <c r="I54" s="306"/>
      <c r="J54" s="306"/>
      <c r="K54" s="306"/>
      <c r="L54" s="306"/>
      <c r="M54" s="306"/>
      <c r="N54" s="306"/>
    </row>
    <row r="55" spans="1:14">
      <c r="A55" s="380"/>
      <c r="B55" s="380"/>
      <c r="C55" s="380" t="s">
        <v>1884</v>
      </c>
      <c r="D55" s="639">
        <f>SUM(D26:D27)</f>
        <v>31836914.980636448</v>
      </c>
      <c r="E55" s="286"/>
      <c r="F55" s="285"/>
      <c r="G55" s="306"/>
      <c r="H55" s="306"/>
      <c r="I55" s="306"/>
      <c r="J55" s="306"/>
      <c r="K55" s="306"/>
      <c r="L55" s="306"/>
      <c r="M55" s="306"/>
      <c r="N55" s="306"/>
    </row>
    <row r="56" spans="1:14">
      <c r="A56"/>
      <c r="B56"/>
      <c r="C56" s="380" t="s">
        <v>65</v>
      </c>
      <c r="D56" s="185">
        <f>SUM(D28:D29)</f>
        <v>61382452.767835811</v>
      </c>
      <c r="E56" s="287"/>
      <c r="F56" s="275"/>
    </row>
    <row r="57" spans="1:14">
      <c r="A57"/>
      <c r="B57"/>
      <c r="C57" s="380" t="s">
        <v>398</v>
      </c>
      <c r="D57" s="185">
        <f>D32</f>
        <v>7959228.7451591119</v>
      </c>
      <c r="E57" s="287"/>
      <c r="F57" s="288"/>
    </row>
    <row r="58" spans="1:14">
      <c r="A58"/>
      <c r="B58"/>
      <c r="C58" s="380" t="s">
        <v>1885</v>
      </c>
      <c r="D58" s="185">
        <f>D33</f>
        <v>6367382.9961272897</v>
      </c>
      <c r="E58" s="275"/>
      <c r="F58" s="275"/>
    </row>
    <row r="59" spans="1:14">
      <c r="A59"/>
      <c r="B59"/>
      <c r="C59" s="380" t="s">
        <v>1886</v>
      </c>
      <c r="D59" s="185">
        <f>D39</f>
        <v>795922.87451591121</v>
      </c>
    </row>
    <row r="60" spans="1:14">
      <c r="A60"/>
      <c r="B60"/>
      <c r="C60"/>
      <c r="D60" s="185">
        <f>SUM(D53:D59)</f>
        <v>220567027.67101803</v>
      </c>
      <c r="E60"/>
      <c r="F60"/>
    </row>
    <row r="61" spans="1:14">
      <c r="A61"/>
      <c r="B61"/>
      <c r="C61"/>
      <c r="D61"/>
      <c r="E61"/>
      <c r="F61"/>
      <c r="K61" s="271" t="s">
        <v>1349</v>
      </c>
    </row>
    <row r="62" spans="1:14">
      <c r="A62"/>
      <c r="B62"/>
      <c r="C62"/>
      <c r="D62"/>
      <c r="E62"/>
      <c r="F62"/>
    </row>
    <row r="63" spans="1:14">
      <c r="A63"/>
      <c r="B63"/>
      <c r="C63"/>
      <c r="D63"/>
      <c r="E63"/>
      <c r="F63"/>
    </row>
    <row r="64" spans="1:14">
      <c r="A64"/>
      <c r="B64"/>
      <c r="C64"/>
      <c r="D64"/>
      <c r="E64"/>
      <c r="F64"/>
    </row>
    <row r="65" spans="1:6">
      <c r="A65"/>
      <c r="B65"/>
      <c r="C65"/>
      <c r="D65"/>
      <c r="E65"/>
      <c r="F65"/>
    </row>
    <row r="66" spans="1:6">
      <c r="A66"/>
      <c r="B66"/>
      <c r="C66"/>
      <c r="D66"/>
      <c r="E66"/>
      <c r="F66"/>
    </row>
    <row r="67" spans="1:6">
      <c r="A67"/>
      <c r="B67"/>
      <c r="C67"/>
      <c r="D67"/>
      <c r="E67"/>
      <c r="F67"/>
    </row>
    <row r="68" spans="1:6">
      <c r="A68"/>
      <c r="B68"/>
      <c r="C68"/>
      <c r="D68"/>
      <c r="E68"/>
      <c r="F68"/>
    </row>
    <row r="69" spans="1:6">
      <c r="A69"/>
      <c r="B69"/>
      <c r="C69"/>
      <c r="D69"/>
      <c r="E69"/>
      <c r="F69"/>
    </row>
    <row r="70" spans="1:6">
      <c r="A70"/>
      <c r="B70"/>
      <c r="C70"/>
      <c r="D70"/>
      <c r="E70"/>
      <c r="F70"/>
    </row>
    <row r="71" spans="1:6">
      <c r="A71"/>
      <c r="B71"/>
      <c r="C71"/>
      <c r="D71"/>
      <c r="E71"/>
      <c r="F71"/>
    </row>
    <row r="72" spans="1:6">
      <c r="E72"/>
      <c r="F72"/>
    </row>
    <row r="73" spans="1:6">
      <c r="E73"/>
      <c r="F73"/>
    </row>
    <row r="74" spans="1:6">
      <c r="E74"/>
      <c r="F74"/>
    </row>
    <row r="75" spans="1:6">
      <c r="E75"/>
      <c r="F75"/>
    </row>
    <row r="76" spans="1:6">
      <c r="E76"/>
      <c r="F76"/>
    </row>
    <row r="77" spans="1:6">
      <c r="E77"/>
      <c r="F77"/>
    </row>
    <row r="78" spans="1:6">
      <c r="E78"/>
      <c r="F78"/>
    </row>
    <row r="79" spans="1:6">
      <c r="E79"/>
      <c r="F79"/>
    </row>
    <row r="80" spans="1:6">
      <c r="E80"/>
      <c r="F80"/>
    </row>
    <row r="81" spans="5:6">
      <c r="E81"/>
      <c r="F81"/>
    </row>
  </sheetData>
  <sheetProtection formatCells="0"/>
  <mergeCells count="9">
    <mergeCell ref="D33:D38"/>
    <mergeCell ref="C33:C38"/>
    <mergeCell ref="H1:L1"/>
    <mergeCell ref="H2:L2"/>
    <mergeCell ref="D20:D22"/>
    <mergeCell ref="C20:C22"/>
    <mergeCell ref="A3:F3"/>
    <mergeCell ref="A9:B9"/>
    <mergeCell ref="A28:A31"/>
  </mergeCells>
  <phoneticPr fontId="52" type="noConversion"/>
  <dataValidations xWindow="343" yWindow="861" count="5">
    <dataValidation type="decimal" allowBlank="1" showInputMessage="1" showErrorMessage="1" error="Must be 0% to 5%" prompt="Between 0% and 5%" sqref="C23">
      <formula1>0</formula1>
      <formula2>0.05</formula2>
    </dataValidation>
    <dataValidation type="decimal" allowBlank="1" showInputMessage="1" showErrorMessage="1" error="Must be 0% to 30%" prompt="Must be 0% to 30%" sqref="C26:C27">
      <formula1>0</formula1>
      <formula2>0.3</formula2>
    </dataValidation>
    <dataValidation type="decimal" allowBlank="1" showInputMessage="1" showErrorMessage="1" error="Must be 0% to 30%" prompt="Must be 0% to 30%" sqref="C25">
      <formula1>0</formula1>
      <formula2>0.35</formula2>
    </dataValidation>
    <dataValidation type="decimal" allowBlank="1" showInputMessage="1" showErrorMessage="1" error="Must be 0% to 35%" prompt="Must be 0% to 35%" sqref="C24:C25">
      <formula1>0</formula1>
      <formula2>0.35</formula2>
    </dataValidation>
    <dataValidation type="decimal" allowBlank="1" showInputMessage="1" showErrorMessage="1" error="Must be 0% to 8%" prompt="Must be beween 0% and 8%" sqref="C39 C32">
      <formula1>0</formula1>
      <formula2>0.08</formula2>
    </dataValidation>
  </dataValidations>
  <printOptions gridLines="1"/>
  <pageMargins left="0.75" right="0.75" top="1" bottom="1" header="0.5" footer="0.5"/>
  <pageSetup scale="24" orientation="portrait" horizontalDpi="4294967292" verticalDpi="4294967292" r:id="rId1"/>
  <ignoredErrors>
    <ignoredError sqref="F11:F14 F17 F19:F21 H11:H14 I11:I14 H17 H19:H20 H21" unlockedFormula="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74"/>
  <sheetViews>
    <sheetView zoomScale="99" workbookViewId="0">
      <pane xSplit="1" ySplit="5" topLeftCell="G36" activePane="bottomRight" state="frozen"/>
      <selection pane="topRight" activeCell="B1" sqref="B1"/>
      <selection pane="bottomLeft" activeCell="A6" sqref="A6"/>
      <selection pane="bottomRight" activeCell="Q59" activeCellId="4" sqref="L59 M59 O59 P59 Q59"/>
    </sheetView>
  </sheetViews>
  <sheetFormatPr defaultColWidth="11" defaultRowHeight="15.75"/>
  <cols>
    <col min="1" max="1" width="38.375" customWidth="1"/>
    <col min="2" max="4" width="11" customWidth="1"/>
    <col min="5" max="5" width="15.125" customWidth="1"/>
    <col min="6" max="6" width="2.5" customWidth="1"/>
    <col min="7" max="9" width="12.625" customWidth="1"/>
    <col min="10" max="10" width="12.875" customWidth="1"/>
    <col min="11" max="11" width="2.375" customWidth="1"/>
    <col min="12" max="12" width="13.625" customWidth="1"/>
    <col min="13" max="13" width="11.5" bestFit="1" customWidth="1"/>
    <col min="14" max="14" width="11.625" customWidth="1"/>
    <col min="16" max="16" width="12.5" bestFit="1" customWidth="1"/>
    <col min="17" max="17" width="12.625" customWidth="1"/>
    <col min="18" max="18" width="11.625" bestFit="1" customWidth="1"/>
    <col min="19" max="19" width="3" customWidth="1"/>
    <col min="21" max="21" width="12.5" customWidth="1"/>
    <col min="22" max="22" width="3" customWidth="1"/>
    <col min="23" max="23" width="13.375" customWidth="1"/>
    <col min="24" max="24" width="3" customWidth="1"/>
    <col min="25" max="25" width="13.375" customWidth="1"/>
    <col min="26" max="26" width="5.875" customWidth="1"/>
    <col min="27" max="27" width="14.625" customWidth="1"/>
    <col min="28" max="28" width="13.5" customWidth="1"/>
    <col min="29" max="29" width="12.5" bestFit="1" customWidth="1"/>
  </cols>
  <sheetData>
    <row r="1" spans="1:27">
      <c r="A1" s="169" t="s">
        <v>61</v>
      </c>
      <c r="B1" s="169"/>
      <c r="C1" s="169"/>
      <c r="D1" s="169"/>
      <c r="E1" s="169"/>
      <c r="F1" s="169"/>
      <c r="G1" s="169"/>
      <c r="H1" s="169"/>
      <c r="I1" s="169"/>
      <c r="J1" s="169"/>
      <c r="K1" s="169"/>
      <c r="L1" s="169"/>
      <c r="M1" s="169"/>
      <c r="N1" s="169"/>
      <c r="U1" s="196" t="s">
        <v>174</v>
      </c>
      <c r="V1" s="197"/>
      <c r="W1" s="201">
        <f>'Step 6 Service-Support'!T2</f>
        <v>597416226.57626891</v>
      </c>
      <c r="X1" s="169"/>
      <c r="Y1" s="169"/>
      <c r="Z1" s="634"/>
      <c r="AA1" s="634"/>
    </row>
    <row r="2" spans="1:27" ht="16.5" thickBot="1">
      <c r="A2" s="169" t="s">
        <v>1614</v>
      </c>
      <c r="B2" s="169"/>
      <c r="C2" s="169"/>
      <c r="D2" s="169"/>
      <c r="E2" s="1647">
        <f>'Step 2 Productivity Split'!C11</f>
        <v>22100000</v>
      </c>
      <c r="F2" s="169"/>
      <c r="G2" s="169"/>
      <c r="H2" s="169"/>
      <c r="I2" s="169"/>
      <c r="J2" s="169"/>
      <c r="K2" s="169"/>
      <c r="L2" s="169"/>
      <c r="M2" s="169"/>
      <c r="N2" s="169"/>
      <c r="U2" s="198" t="s">
        <v>175</v>
      </c>
      <c r="V2" s="199"/>
      <c r="W2" s="200">
        <f>W1-W59</f>
        <v>180668745.73748708</v>
      </c>
    </row>
    <row r="3" spans="1:27">
      <c r="A3" s="169"/>
      <c r="B3" s="169"/>
      <c r="C3" s="169"/>
      <c r="D3" s="169"/>
      <c r="E3" s="169"/>
      <c r="F3" s="169"/>
      <c r="G3" s="169"/>
      <c r="H3" s="169"/>
      <c r="I3" s="169"/>
      <c r="J3" s="169"/>
      <c r="K3" s="169"/>
      <c r="L3" s="169"/>
      <c r="M3" s="169"/>
      <c r="N3" s="169"/>
      <c r="O3" s="169"/>
      <c r="P3" s="169"/>
      <c r="Q3" s="169"/>
      <c r="R3" s="169"/>
      <c r="S3" s="169"/>
      <c r="T3" s="169"/>
    </row>
    <row r="4" spans="1:27">
      <c r="A4" s="170"/>
      <c r="B4" s="1946" t="s">
        <v>165</v>
      </c>
      <c r="C4" s="1946"/>
      <c r="D4" s="1946"/>
      <c r="E4" s="1946"/>
      <c r="F4" s="190"/>
      <c r="G4" s="1941" t="s">
        <v>166</v>
      </c>
      <c r="H4" s="1941"/>
      <c r="I4" s="1941"/>
      <c r="J4" s="1941"/>
      <c r="K4" s="195"/>
      <c r="L4" s="1947" t="s">
        <v>629</v>
      </c>
      <c r="M4" s="1947"/>
      <c r="N4" s="1947"/>
      <c r="O4" s="1947"/>
      <c r="P4" s="1947"/>
      <c r="Q4" s="1947"/>
      <c r="R4" s="1947"/>
      <c r="S4" s="170"/>
      <c r="T4" s="1942" t="s">
        <v>151</v>
      </c>
      <c r="U4" s="1942"/>
      <c r="V4" s="190"/>
    </row>
    <row r="5" spans="1:27" ht="63.75">
      <c r="A5" s="180" t="s">
        <v>68</v>
      </c>
      <c r="B5" s="224" t="s">
        <v>172</v>
      </c>
      <c r="C5" s="224" t="s">
        <v>700</v>
      </c>
      <c r="D5" s="224" t="s">
        <v>635</v>
      </c>
      <c r="E5" s="224" t="s">
        <v>1346</v>
      </c>
      <c r="F5" s="231"/>
      <c r="G5" s="224" t="s">
        <v>156</v>
      </c>
      <c r="H5" s="224" t="s">
        <v>157</v>
      </c>
      <c r="I5" s="224" t="s">
        <v>158</v>
      </c>
      <c r="J5" s="224" t="s">
        <v>159</v>
      </c>
      <c r="K5" s="230"/>
      <c r="L5" s="230" t="s">
        <v>617</v>
      </c>
      <c r="M5" s="230" t="s">
        <v>618</v>
      </c>
      <c r="N5" s="230" t="s">
        <v>619</v>
      </c>
      <c r="O5" s="230" t="s">
        <v>398</v>
      </c>
      <c r="P5" s="230" t="s">
        <v>620</v>
      </c>
      <c r="Q5" s="230" t="s">
        <v>1254</v>
      </c>
      <c r="R5" s="638"/>
      <c r="S5" s="224"/>
      <c r="T5" s="224" t="s">
        <v>164</v>
      </c>
      <c r="U5" s="224" t="s">
        <v>168</v>
      </c>
      <c r="V5" s="231"/>
      <c r="W5" s="224" t="s">
        <v>1610</v>
      </c>
      <c r="X5" s="1076"/>
      <c r="Y5" s="224" t="s">
        <v>1806</v>
      </c>
    </row>
    <row r="6" spans="1:27">
      <c r="A6" s="171" t="s">
        <v>470</v>
      </c>
      <c r="B6" s="40"/>
      <c r="C6" s="40"/>
      <c r="D6" s="40"/>
      <c r="E6" s="40"/>
      <c r="F6" s="50"/>
      <c r="G6" s="40"/>
      <c r="H6" s="40"/>
      <c r="I6" s="40"/>
      <c r="J6" s="40"/>
      <c r="K6" s="44"/>
      <c r="L6" s="40"/>
      <c r="M6" s="40"/>
      <c r="N6" s="40"/>
      <c r="O6" s="40"/>
      <c r="P6" s="40"/>
      <c r="Q6" s="40"/>
      <c r="R6" s="40"/>
      <c r="S6" s="44"/>
      <c r="T6" s="40">
        <f>'Step 1 Dedicated Funds'!N6</f>
        <v>0</v>
      </c>
      <c r="U6" s="40">
        <f>SUM('Step 1 Dedicated Funds'!O6:T6)</f>
        <v>0</v>
      </c>
      <c r="V6" s="50"/>
      <c r="W6" s="40">
        <f t="shared" ref="W6:W12" si="0">SUM(B6:V6)</f>
        <v>0</v>
      </c>
      <c r="X6" s="161"/>
      <c r="Y6" s="40">
        <v>-626137</v>
      </c>
    </row>
    <row r="7" spans="1:27">
      <c r="A7" s="171" t="s">
        <v>477</v>
      </c>
      <c r="B7" s="40"/>
      <c r="C7" s="40"/>
      <c r="D7" s="40"/>
      <c r="E7" s="40"/>
      <c r="F7" s="50"/>
      <c r="G7" s="40"/>
      <c r="H7" s="40"/>
      <c r="I7" s="40"/>
      <c r="J7" s="40"/>
      <c r="K7" s="44"/>
      <c r="L7" s="40"/>
      <c r="M7" s="40"/>
      <c r="N7" s="40"/>
      <c r="O7" s="40"/>
      <c r="P7" s="40"/>
      <c r="Q7" s="40"/>
      <c r="R7" s="40"/>
      <c r="S7" s="44"/>
      <c r="T7" s="40">
        <f>'Step 1 Dedicated Funds'!N7</f>
        <v>-270100</v>
      </c>
      <c r="U7" s="40">
        <f>SUM('Step 1 Dedicated Funds'!O7:T7)</f>
        <v>6843000</v>
      </c>
      <c r="V7" s="50"/>
      <c r="W7" s="40">
        <f t="shared" si="0"/>
        <v>6572900</v>
      </c>
      <c r="X7" s="161"/>
      <c r="Y7" s="40">
        <v>7259180</v>
      </c>
    </row>
    <row r="8" spans="1:27">
      <c r="A8" s="171" t="s">
        <v>697</v>
      </c>
      <c r="B8" s="40"/>
      <c r="C8" s="40"/>
      <c r="D8" s="40"/>
      <c r="E8" s="40"/>
      <c r="F8" s="50"/>
      <c r="G8" s="40"/>
      <c r="H8" s="40"/>
      <c r="I8" s="40"/>
      <c r="J8" s="40"/>
      <c r="K8" s="44"/>
      <c r="L8" s="40"/>
      <c r="M8" s="40"/>
      <c r="N8" s="40"/>
      <c r="O8" s="40"/>
      <c r="P8" s="40"/>
      <c r="Q8" s="40"/>
      <c r="R8" s="40"/>
      <c r="S8" s="44"/>
      <c r="T8" s="40">
        <f>'Step 1 Dedicated Funds'!N8</f>
        <v>0</v>
      </c>
      <c r="U8" s="40">
        <f>SUM('Step 1 Dedicated Funds'!O8:T8)</f>
        <v>0</v>
      </c>
      <c r="V8" s="50"/>
      <c r="W8" s="40">
        <f t="shared" si="0"/>
        <v>0</v>
      </c>
      <c r="X8" s="162"/>
      <c r="Y8" s="40">
        <v>-10659942.763277592</v>
      </c>
    </row>
    <row r="9" spans="1:27">
      <c r="A9" s="171" t="s">
        <v>714</v>
      </c>
      <c r="B9" s="40"/>
      <c r="C9" s="40"/>
      <c r="D9" s="40"/>
      <c r="E9" s="40"/>
      <c r="F9" s="50"/>
      <c r="G9" s="40"/>
      <c r="H9" s="40"/>
      <c r="I9" s="40"/>
      <c r="J9" s="40"/>
      <c r="K9" s="44"/>
      <c r="L9" s="40"/>
      <c r="M9" s="40"/>
      <c r="N9" s="40"/>
      <c r="O9" s="40"/>
      <c r="P9" s="40"/>
      <c r="Q9" s="40"/>
      <c r="R9" s="40"/>
      <c r="S9" s="44"/>
      <c r="T9" s="40">
        <f>'Step 1 Dedicated Funds'!N9</f>
        <v>0</v>
      </c>
      <c r="U9" s="40">
        <f>SUM('Step 1 Dedicated Funds'!O9:T9)</f>
        <v>13000000</v>
      </c>
      <c r="V9" s="50"/>
      <c r="W9" s="40">
        <f t="shared" si="0"/>
        <v>13000000</v>
      </c>
      <c r="X9" s="162"/>
      <c r="Y9" s="40">
        <v>10000000</v>
      </c>
    </row>
    <row r="10" spans="1:27">
      <c r="A10" s="171" t="s">
        <v>471</v>
      </c>
      <c r="B10" s="40">
        <f>'Step 2 Productivity Split'!C10</f>
        <v>17319704</v>
      </c>
      <c r="C10" s="40"/>
      <c r="D10" s="40"/>
      <c r="E10" s="40">
        <f>'Step 2 Productivity Split'!C11-SUM(E16:E34)</f>
        <v>93096</v>
      </c>
      <c r="F10" s="50"/>
      <c r="G10" s="40"/>
      <c r="H10" s="40"/>
      <c r="I10" s="40"/>
      <c r="J10" s="40"/>
      <c r="K10" s="44"/>
      <c r="L10" s="40"/>
      <c r="M10" s="40"/>
      <c r="N10" s="40"/>
      <c r="O10" s="40"/>
      <c r="P10" s="40"/>
      <c r="Q10" s="40"/>
      <c r="R10" s="40"/>
      <c r="S10" s="44"/>
      <c r="T10" s="40">
        <f>'Step 1 Dedicated Funds'!N10</f>
        <v>0</v>
      </c>
      <c r="U10" s="40">
        <f>SUM('Step 1 Dedicated Funds'!O10:T10)</f>
        <v>2324298</v>
      </c>
      <c r="V10" s="50"/>
      <c r="W10" s="40">
        <f t="shared" si="0"/>
        <v>19737098</v>
      </c>
      <c r="X10" s="162"/>
      <c r="Y10" s="40">
        <v>18178922</v>
      </c>
    </row>
    <row r="11" spans="1:27">
      <c r="A11" s="171" t="s">
        <v>472</v>
      </c>
      <c r="B11" s="40"/>
      <c r="C11" s="40"/>
      <c r="D11" s="40"/>
      <c r="E11" s="40"/>
      <c r="F11" s="50"/>
      <c r="G11" s="40"/>
      <c r="H11" s="40"/>
      <c r="I11" s="40"/>
      <c r="J11" s="40"/>
      <c r="K11" s="44"/>
      <c r="L11" s="40"/>
      <c r="M11" s="40"/>
      <c r="N11" s="40"/>
      <c r="O11" s="40"/>
      <c r="P11" s="40"/>
      <c r="Q11" s="40"/>
      <c r="R11" s="40"/>
      <c r="S11" s="44"/>
      <c r="T11" s="40">
        <f>'Step 1 Dedicated Funds'!N11</f>
        <v>0</v>
      </c>
      <c r="U11" s="40">
        <f>SUM('Step 1 Dedicated Funds'!O11:T11)</f>
        <v>0</v>
      </c>
      <c r="V11" s="50"/>
      <c r="W11" s="40">
        <f t="shared" si="0"/>
        <v>0</v>
      </c>
      <c r="X11" s="162"/>
      <c r="Y11" s="40">
        <v>4150000</v>
      </c>
    </row>
    <row r="12" spans="1:27">
      <c r="A12" s="171" t="s">
        <v>473</v>
      </c>
      <c r="B12" s="40"/>
      <c r="C12" s="40"/>
      <c r="D12" s="40"/>
      <c r="E12" s="40"/>
      <c r="F12" s="50"/>
      <c r="G12" s="40"/>
      <c r="H12" s="40"/>
      <c r="I12" s="40"/>
      <c r="J12" s="40"/>
      <c r="K12" s="44"/>
      <c r="L12" s="40"/>
      <c r="M12" s="40"/>
      <c r="N12" s="40"/>
      <c r="O12" s="40"/>
      <c r="P12" s="40"/>
      <c r="Q12" s="40"/>
      <c r="R12" s="40"/>
      <c r="S12" s="44"/>
      <c r="T12" s="40">
        <f>'Step 1 Dedicated Funds'!N12</f>
        <v>0</v>
      </c>
      <c r="U12" s="40">
        <f>SUM('Step 1 Dedicated Funds'!O12:T12)</f>
        <v>3600000</v>
      </c>
      <c r="V12" s="50"/>
      <c r="W12" s="40">
        <f t="shared" si="0"/>
        <v>3600000</v>
      </c>
      <c r="X12" s="162"/>
      <c r="Y12" s="40">
        <v>26139223</v>
      </c>
    </row>
    <row r="13" spans="1:27">
      <c r="A13" s="162"/>
      <c r="B13" s="44"/>
      <c r="C13" s="44"/>
      <c r="D13" s="44"/>
      <c r="E13" s="44"/>
      <c r="F13" s="50"/>
      <c r="G13" s="44"/>
      <c r="H13" s="44"/>
      <c r="I13" s="44"/>
      <c r="J13" s="44"/>
      <c r="K13" s="44"/>
      <c r="L13" s="44"/>
      <c r="M13" s="44"/>
      <c r="N13" s="44"/>
      <c r="O13" s="44"/>
      <c r="P13" s="44"/>
      <c r="Q13" s="44"/>
      <c r="R13" s="44"/>
      <c r="S13" s="44"/>
      <c r="T13" s="44"/>
      <c r="U13" s="44"/>
      <c r="V13" s="44"/>
      <c r="W13" s="44"/>
      <c r="X13" s="162"/>
      <c r="Y13" s="44"/>
    </row>
    <row r="14" spans="1:27">
      <c r="A14" s="47" t="s">
        <v>71</v>
      </c>
      <c r="B14" s="33"/>
      <c r="C14" s="33"/>
      <c r="D14" s="33"/>
      <c r="E14" s="33"/>
      <c r="F14" s="49"/>
      <c r="G14" s="33"/>
      <c r="H14" s="33"/>
      <c r="I14" s="33"/>
      <c r="J14" s="33"/>
      <c r="K14" s="45"/>
      <c r="L14" s="33"/>
      <c r="M14" s="33"/>
      <c r="N14" s="33"/>
      <c r="O14" s="33"/>
      <c r="P14" s="33"/>
      <c r="Q14" s="33"/>
      <c r="R14" s="33"/>
      <c r="S14" s="45"/>
      <c r="T14" s="33"/>
      <c r="U14" s="33"/>
      <c r="V14" s="49"/>
      <c r="W14" s="33"/>
      <c r="X14" s="162"/>
      <c r="Y14" s="33"/>
    </row>
    <row r="15" spans="1:27">
      <c r="A15" s="1280" t="s">
        <v>1316</v>
      </c>
      <c r="B15" s="33"/>
      <c r="C15" s="33"/>
      <c r="D15" s="33"/>
      <c r="E15" s="33"/>
      <c r="F15" s="49"/>
      <c r="G15" s="33"/>
      <c r="H15" s="33"/>
      <c r="I15" s="33"/>
      <c r="J15" s="33"/>
      <c r="K15" s="45"/>
      <c r="L15" s="33"/>
      <c r="M15" s="33"/>
      <c r="N15" s="33"/>
      <c r="O15" s="33"/>
      <c r="P15" s="33"/>
      <c r="Q15" s="33"/>
      <c r="R15" s="33"/>
      <c r="S15" s="45"/>
      <c r="T15" s="33"/>
      <c r="U15" s="33"/>
      <c r="V15" s="49"/>
      <c r="W15" s="373">
        <f t="shared" ref="W15:W34" si="1">SUM(B15:V15)</f>
        <v>0</v>
      </c>
      <c r="X15" s="162"/>
      <c r="Y15" s="1824"/>
    </row>
    <row r="16" spans="1:27">
      <c r="A16" s="173" t="s">
        <v>72</v>
      </c>
      <c r="B16" s="40"/>
      <c r="C16" s="40"/>
      <c r="D16" s="40"/>
      <c r="E16" s="40">
        <v>0</v>
      </c>
      <c r="F16" s="50"/>
      <c r="G16" s="372"/>
      <c r="H16" s="372"/>
      <c r="I16" s="372"/>
      <c r="J16" s="372"/>
      <c r="K16" s="44"/>
      <c r="L16" s="372">
        <f>'Compile Productivity $'!B13</f>
        <v>4178418.8762228452</v>
      </c>
      <c r="M16" s="372">
        <f>'Compile Productivity $'!C13</f>
        <v>3773161.1603870192</v>
      </c>
      <c r="N16" s="372">
        <f>'Compile Productivity $'!D13</f>
        <v>8493439.1860469915</v>
      </c>
      <c r="O16" s="372">
        <f>'Compile Productivity $'!E13</f>
        <v>1401646.4296144415</v>
      </c>
      <c r="P16" s="372">
        <f>'Compile Productivity $'!F13</f>
        <v>467207.05949999008</v>
      </c>
      <c r="Q16" s="372">
        <f>'Compile Productivity $'!G13</f>
        <v>3088401.6431756816</v>
      </c>
      <c r="R16" s="372"/>
      <c r="S16" s="44"/>
      <c r="T16" s="372">
        <f>'Step 1 Dedicated Funds'!N16</f>
        <v>-114722.94</v>
      </c>
      <c r="U16" s="372">
        <f>SUM('Step 1 Dedicated Funds'!O16:T16)</f>
        <v>3450310</v>
      </c>
      <c r="V16" s="50"/>
      <c r="W16" s="372">
        <f t="shared" si="1"/>
        <v>24737861.414946966</v>
      </c>
      <c r="X16" s="162"/>
      <c r="Y16" s="40">
        <v>23993241</v>
      </c>
      <c r="AA16" s="12"/>
    </row>
    <row r="17" spans="1:27">
      <c r="A17" s="49" t="s">
        <v>73</v>
      </c>
      <c r="B17" s="44"/>
      <c r="C17" s="44"/>
      <c r="D17" s="44"/>
      <c r="E17" s="44">
        <v>0</v>
      </c>
      <c r="F17" s="50"/>
      <c r="G17" s="373"/>
      <c r="H17" s="373"/>
      <c r="I17" s="373"/>
      <c r="J17" s="373"/>
      <c r="K17" s="44"/>
      <c r="L17" s="373">
        <f>'Compile Productivity $'!B14</f>
        <v>5742481.3368606819</v>
      </c>
      <c r="M17" s="373">
        <f>'Compile Productivity $'!C14</f>
        <v>6056176.8840050651</v>
      </c>
      <c r="N17" s="373">
        <f>'Compile Productivity $'!D14</f>
        <v>6076414.9134103637</v>
      </c>
      <c r="O17" s="373">
        <f>'Compile Productivity $'!E14</f>
        <v>2932.64847679285</v>
      </c>
      <c r="P17" s="373">
        <f>'Compile Productivity $'!F14</f>
        <v>1148980.5660860962</v>
      </c>
      <c r="Q17" s="373">
        <f>'Compile Productivity $'!G14</f>
        <v>1256326.5801639303</v>
      </c>
      <c r="R17" s="373"/>
      <c r="S17" s="44"/>
      <c r="T17" s="373">
        <f>'Step 1 Dedicated Funds'!N17</f>
        <v>-40855.178</v>
      </c>
      <c r="U17" s="373">
        <f>SUM('Step 1 Dedicated Funds'!O17:T17)</f>
        <v>3083462.1521200002</v>
      </c>
      <c r="V17" s="50"/>
      <c r="W17" s="373">
        <f t="shared" si="1"/>
        <v>23325919.903122932</v>
      </c>
      <c r="X17" s="162"/>
      <c r="Y17" s="44">
        <v>21443844</v>
      </c>
    </row>
    <row r="18" spans="1:27">
      <c r="A18" s="172" t="s">
        <v>74</v>
      </c>
      <c r="B18" s="44"/>
      <c r="C18" s="44"/>
      <c r="D18" s="44"/>
      <c r="E18" s="44">
        <v>0</v>
      </c>
      <c r="F18" s="50"/>
      <c r="G18" s="373"/>
      <c r="H18" s="373"/>
      <c r="I18" s="373"/>
      <c r="J18" s="373"/>
      <c r="K18" s="44"/>
      <c r="L18" s="373">
        <f>'Compile Productivity $'!B15</f>
        <v>6143583.4399813041</v>
      </c>
      <c r="M18" s="373">
        <f>'Compile Productivity $'!C15</f>
        <v>13488643.55979196</v>
      </c>
      <c r="N18" s="373">
        <f>'Compile Productivity $'!D15</f>
        <v>15000000</v>
      </c>
      <c r="O18" s="373">
        <f>'Compile Productivity $'!E15</f>
        <v>1752086.6075550234</v>
      </c>
      <c r="P18" s="373">
        <f>'Compile Productivity $'!F15</f>
        <v>1990675.2082999791</v>
      </c>
      <c r="Q18" s="373">
        <f>'Compile Productivity $'!G15</f>
        <v>9818002.0532403793</v>
      </c>
      <c r="R18" s="373"/>
      <c r="S18" s="44"/>
      <c r="T18" s="373">
        <f>'Step 1 Dedicated Funds'!N18</f>
        <v>-646197.82200000004</v>
      </c>
      <c r="U18" s="373">
        <f>SUM('Step 1 Dedicated Funds'!O18:T18)</f>
        <v>20864384.166999999</v>
      </c>
      <c r="V18" s="50"/>
      <c r="W18" s="373">
        <f t="shared" si="1"/>
        <v>68411177.213868648</v>
      </c>
      <c r="X18" s="162"/>
      <c r="Y18" s="44">
        <v>67030706</v>
      </c>
      <c r="AA18" s="12"/>
    </row>
    <row r="19" spans="1:27">
      <c r="A19" s="173" t="s">
        <v>75</v>
      </c>
      <c r="B19" s="40"/>
      <c r="C19" s="40"/>
      <c r="D19" s="40"/>
      <c r="E19" s="40">
        <f>737700</f>
        <v>737700</v>
      </c>
      <c r="F19" s="50"/>
      <c r="G19" s="372"/>
      <c r="H19" s="372"/>
      <c r="I19" s="372"/>
      <c r="J19" s="372"/>
      <c r="K19" s="44"/>
      <c r="L19" s="372">
        <f>'Compile Productivity $'!B16</f>
        <v>925797.8849663157</v>
      </c>
      <c r="M19" s="372">
        <f>'Compile Productivity $'!C16</f>
        <v>1236004.3237735636</v>
      </c>
      <c r="N19" s="372">
        <f>'Compile Productivity $'!D16</f>
        <v>1412447.5757823552</v>
      </c>
      <c r="O19" s="372">
        <f>'Compile Productivity $'!E16</f>
        <v>317347.70771727973</v>
      </c>
      <c r="P19" s="372">
        <f>'Compile Productivity $'!F16</f>
        <v>175391.74321115235</v>
      </c>
      <c r="Q19" s="372">
        <f>'Compile Productivity $'!G16</f>
        <v>1499725.3539558637</v>
      </c>
      <c r="R19" s="372"/>
      <c r="S19" s="44"/>
      <c r="T19" s="372">
        <f>'Step 1 Dedicated Funds'!N19</f>
        <v>-190577.89799999999</v>
      </c>
      <c r="U19" s="372">
        <f>SUM('Step 1 Dedicated Funds'!O19:T19)</f>
        <v>3115689.2800000003</v>
      </c>
      <c r="V19" s="50"/>
      <c r="W19" s="372">
        <f>SUM(B19:V19)</f>
        <v>9229525.9714065306</v>
      </c>
      <c r="X19" s="162"/>
      <c r="Y19" s="40">
        <v>9423979</v>
      </c>
      <c r="AA19" s="12"/>
    </row>
    <row r="20" spans="1:27">
      <c r="A20" s="49" t="s">
        <v>76</v>
      </c>
      <c r="B20" s="44"/>
      <c r="C20" s="44"/>
      <c r="D20" s="44"/>
      <c r="E20" s="44">
        <v>0</v>
      </c>
      <c r="F20" s="50"/>
      <c r="G20" s="373"/>
      <c r="H20" s="373"/>
      <c r="I20" s="373"/>
      <c r="J20" s="373"/>
      <c r="K20" s="44"/>
      <c r="L20" s="373">
        <f>'Compile Productivity $'!B17</f>
        <v>4954975.1217208318</v>
      </c>
      <c r="M20" s="373">
        <f>'Compile Productivity $'!C17</f>
        <v>3946342.3287567198</v>
      </c>
      <c r="N20" s="373">
        <f>'Compile Productivity $'!D17</f>
        <v>3862733.4298863993</v>
      </c>
      <c r="O20" s="373">
        <f>'Compile Productivity $'!E17</f>
        <v>627287.95734106994</v>
      </c>
      <c r="P20" s="373">
        <f>'Compile Productivity $'!F17</f>
        <v>914713.90944440861</v>
      </c>
      <c r="Q20" s="373">
        <f>'Compile Productivity $'!G17</f>
        <v>2078789.729803853</v>
      </c>
      <c r="R20" s="373"/>
      <c r="S20" s="44"/>
      <c r="T20" s="373">
        <f>'Step 1 Dedicated Funds'!N20</f>
        <v>-102703.046</v>
      </c>
      <c r="U20" s="373">
        <f>SUM('Step 1 Dedicated Funds'!O20:T20)</f>
        <v>2532465.1984000001</v>
      </c>
      <c r="V20" s="50"/>
      <c r="W20" s="373">
        <f t="shared" si="1"/>
        <v>18814604.629353281</v>
      </c>
      <c r="X20" s="162"/>
      <c r="Y20" s="44">
        <v>20386034</v>
      </c>
      <c r="AA20" s="12"/>
    </row>
    <row r="21" spans="1:27">
      <c r="A21" s="172" t="s">
        <v>77</v>
      </c>
      <c r="B21" s="44"/>
      <c r="C21" s="44"/>
      <c r="D21" s="44"/>
      <c r="E21" s="44">
        <v>245900</v>
      </c>
      <c r="F21" s="50"/>
      <c r="G21" s="373"/>
      <c r="H21" s="373"/>
      <c r="I21" s="373"/>
      <c r="J21" s="373"/>
      <c r="K21" s="44"/>
      <c r="L21" s="373">
        <f>'Compile Productivity $'!B18</f>
        <v>1264362.0663786905</v>
      </c>
      <c r="M21" s="373">
        <f>'Compile Productivity $'!C18</f>
        <v>243016.84912779572</v>
      </c>
      <c r="N21" s="373">
        <f>'Compile Productivity $'!D18</f>
        <v>2411438.0892217942</v>
      </c>
      <c r="O21" s="373">
        <f>'Compile Productivity $'!E18</f>
        <v>13638.72522787273</v>
      </c>
      <c r="P21" s="373">
        <f>'Compile Productivity $'!F18</f>
        <v>220762.67277645302</v>
      </c>
      <c r="Q21" s="373">
        <f>'Compile Productivity $'!G18</f>
        <v>1050041.6945641744</v>
      </c>
      <c r="R21" s="373"/>
      <c r="S21" s="44"/>
      <c r="T21" s="373">
        <f>'Step 1 Dedicated Funds'!N21</f>
        <v>-7400</v>
      </c>
      <c r="U21" s="373">
        <f>SUM('Step 1 Dedicated Funds'!O21:T21)</f>
        <v>120000</v>
      </c>
      <c r="V21" s="50"/>
      <c r="W21" s="373">
        <f t="shared" si="1"/>
        <v>5561760.09729678</v>
      </c>
      <c r="X21" s="162"/>
      <c r="Y21" s="44">
        <v>5442006</v>
      </c>
      <c r="AA21" s="12"/>
    </row>
    <row r="22" spans="1:27">
      <c r="A22" s="173" t="s">
        <v>78</v>
      </c>
      <c r="B22" s="40"/>
      <c r="C22" s="40"/>
      <c r="D22" s="40"/>
      <c r="E22" s="40">
        <v>0</v>
      </c>
      <c r="F22" s="50"/>
      <c r="G22" s="372"/>
      <c r="H22" s="372"/>
      <c r="I22" s="372"/>
      <c r="J22" s="372"/>
      <c r="K22" s="44"/>
      <c r="L22" s="372">
        <f>'Compile Productivity $'!B19</f>
        <v>19424142.638719536</v>
      </c>
      <c r="M22" s="372">
        <f>'Compile Productivity $'!C19</f>
        <v>5939698.791377306</v>
      </c>
      <c r="N22" s="372">
        <f>'Compile Productivity $'!D19</f>
        <v>14447740</v>
      </c>
      <c r="O22" s="372">
        <f>'Compile Productivity $'!E19</f>
        <v>71244.332106518705</v>
      </c>
      <c r="P22" s="372">
        <f>'Compile Productivity $'!F19</f>
        <v>1257748.3618144267</v>
      </c>
      <c r="Q22" s="372">
        <f>'Compile Productivity $'!G19</f>
        <v>1938352.9496536546</v>
      </c>
      <c r="R22" s="372"/>
      <c r="S22" s="44"/>
      <c r="T22" s="372">
        <f>'Step 1 Dedicated Funds'!N22</f>
        <v>-128220.466</v>
      </c>
      <c r="U22" s="372">
        <f>SUM('Step 1 Dedicated Funds'!O22:T22)</f>
        <v>1812709</v>
      </c>
      <c r="V22" s="50"/>
      <c r="W22" s="372">
        <f t="shared" si="1"/>
        <v>44763415.60767144</v>
      </c>
      <c r="X22" s="162"/>
      <c r="Y22" s="40">
        <v>44094814</v>
      </c>
      <c r="AA22" s="12"/>
    </row>
    <row r="23" spans="1:27">
      <c r="A23" s="172" t="s">
        <v>79</v>
      </c>
      <c r="B23" s="44"/>
      <c r="C23" s="44"/>
      <c r="D23" s="44"/>
      <c r="E23" s="44">
        <f>2557360</f>
        <v>2557360</v>
      </c>
      <c r="F23" s="50"/>
      <c r="G23" s="373"/>
      <c r="H23" s="373"/>
      <c r="I23" s="373"/>
      <c r="J23" s="373"/>
      <c r="K23" s="44"/>
      <c r="L23" s="373">
        <f>'Compile Productivity $'!B20</f>
        <v>2397372.7047201698</v>
      </c>
      <c r="M23" s="373">
        <f>'Compile Productivity $'!C20</f>
        <v>890255.4086025639</v>
      </c>
      <c r="N23" s="373">
        <f>'Compile Productivity $'!D20</f>
        <v>1687067.7654351695</v>
      </c>
      <c r="O23" s="373">
        <f>'Compile Productivity $'!E20</f>
        <v>1899988.1732828058</v>
      </c>
      <c r="P23" s="373">
        <f>'Compile Productivity $'!F20</f>
        <v>141819.10274628957</v>
      </c>
      <c r="Q23" s="373">
        <f>'Compile Productivity $'!G20</f>
        <v>1401160.5347468075</v>
      </c>
      <c r="R23" s="373"/>
      <c r="S23" s="44"/>
      <c r="T23" s="373">
        <f>'Step 1 Dedicated Funds'!N23</f>
        <v>41103.077999999994</v>
      </c>
      <c r="U23" s="373">
        <f>SUM('Step 1 Dedicated Funds'!O23:T23)</f>
        <v>6444553</v>
      </c>
      <c r="V23" s="50"/>
      <c r="W23" s="373">
        <f t="shared" si="1"/>
        <v>17460679.767533801</v>
      </c>
      <c r="X23" s="162"/>
      <c r="Y23" s="44">
        <v>18750980</v>
      </c>
      <c r="AA23" s="12"/>
    </row>
    <row r="24" spans="1:27">
      <c r="A24" s="172" t="s">
        <v>80</v>
      </c>
      <c r="B24" s="50"/>
      <c r="C24" s="50"/>
      <c r="D24" s="50"/>
      <c r="E24" s="50">
        <v>2881948</v>
      </c>
      <c r="F24" s="50"/>
      <c r="G24" s="374"/>
      <c r="H24" s="374"/>
      <c r="I24" s="374"/>
      <c r="J24" s="374"/>
      <c r="K24" s="50"/>
      <c r="L24" s="374">
        <f>'Compile Productivity $'!B21</f>
        <v>139588.50458237567</v>
      </c>
      <c r="M24" s="374">
        <f>'Compile Productivity $'!C21</f>
        <v>0</v>
      </c>
      <c r="N24" s="374">
        <f>'Compile Productivity $'!D21</f>
        <v>80000</v>
      </c>
      <c r="O24" s="374">
        <f>'Compile Productivity $'!E21</f>
        <v>208609.25174574152</v>
      </c>
      <c r="P24" s="374">
        <f>'Compile Productivity $'!F21</f>
        <v>53737.614055128317</v>
      </c>
      <c r="Q24" s="374">
        <f>'Compile Productivity $'!G21</f>
        <v>3460974.0884980778</v>
      </c>
      <c r="R24" s="374"/>
      <c r="S24" s="50"/>
      <c r="T24" s="374">
        <f>'Step 1 Dedicated Funds'!N24</f>
        <v>-113642.39199999999</v>
      </c>
      <c r="U24" s="374">
        <f>SUM('Step 1 Dedicated Funds'!O24:T24)</f>
        <v>5926242.0006117597</v>
      </c>
      <c r="V24" s="50"/>
      <c r="W24" s="374">
        <f t="shared" si="1"/>
        <v>12637457.067493083</v>
      </c>
      <c r="X24" s="162"/>
      <c r="Y24" s="50">
        <v>12570093</v>
      </c>
      <c r="AA24" s="12"/>
    </row>
    <row r="25" spans="1:27">
      <c r="A25" s="173" t="s">
        <v>81</v>
      </c>
      <c r="B25" s="40"/>
      <c r="C25" s="40"/>
      <c r="D25" s="40"/>
      <c r="E25" s="40">
        <v>0</v>
      </c>
      <c r="F25" s="50"/>
      <c r="G25" s="372"/>
      <c r="H25" s="372"/>
      <c r="I25" s="372"/>
      <c r="J25" s="372"/>
      <c r="K25" s="44"/>
      <c r="L25" s="372">
        <f>'Compile Productivity $'!B22</f>
        <v>23073702.865721542</v>
      </c>
      <c r="M25" s="372">
        <f>'Compile Productivity $'!C22</f>
        <v>5196904.0458228337</v>
      </c>
      <c r="N25" s="372">
        <f>'Compile Productivity $'!D22</f>
        <v>7300000</v>
      </c>
      <c r="O25" s="372">
        <f>'Compile Productivity $'!E22</f>
        <v>622153.69255656225</v>
      </c>
      <c r="P25" s="372">
        <f>'Compile Productivity $'!F22</f>
        <v>696345.53186281968</v>
      </c>
      <c r="Q25" s="372">
        <f>'Compile Productivity $'!G22</f>
        <v>3481217.6384611046</v>
      </c>
      <c r="R25" s="372"/>
      <c r="S25" s="44"/>
      <c r="T25" s="372">
        <f>'Step 1 Dedicated Funds'!N25</f>
        <v>-118488.57799999999</v>
      </c>
      <c r="U25" s="372">
        <f>SUM('Step 1 Dedicated Funds'!O25:T25)</f>
        <v>2401197</v>
      </c>
      <c r="V25" s="50"/>
      <c r="W25" s="372">
        <f t="shared" si="1"/>
        <v>42653032.196424857</v>
      </c>
      <c r="X25" s="162"/>
      <c r="Y25" s="40">
        <v>43664480</v>
      </c>
      <c r="AA25" s="12"/>
    </row>
    <row r="26" spans="1:27">
      <c r="A26" s="172" t="s">
        <v>82</v>
      </c>
      <c r="B26" s="50"/>
      <c r="C26" s="50"/>
      <c r="D26" s="50"/>
      <c r="E26" s="50">
        <v>7091756</v>
      </c>
      <c r="F26" s="50"/>
      <c r="G26" s="374"/>
      <c r="H26" s="374"/>
      <c r="I26" s="374"/>
      <c r="J26" s="374"/>
      <c r="K26" s="50"/>
      <c r="L26" s="374">
        <f>'Compile Productivity $'!B23</f>
        <v>335344.80534692365</v>
      </c>
      <c r="M26" s="374">
        <f>'Compile Productivity $'!C23</f>
        <v>0</v>
      </c>
      <c r="N26" s="374">
        <f>'Compile Productivity $'!D23</f>
        <v>0</v>
      </c>
      <c r="O26" s="374">
        <f>'Compile Productivity $'!E23</f>
        <v>138941.99720139903</v>
      </c>
      <c r="P26" s="374">
        <f>'Compile Productivity $'!F23</f>
        <v>19318.187873476669</v>
      </c>
      <c r="Q26" s="374">
        <f>'Compile Productivity $'!G23</f>
        <v>2378271.0074660243</v>
      </c>
      <c r="R26" s="374"/>
      <c r="S26" s="50"/>
      <c r="T26" s="374">
        <f>'Step 1 Dedicated Funds'!N26</f>
        <v>-1077566.7620000001</v>
      </c>
      <c r="U26" s="374">
        <f>SUM('Step 1 Dedicated Funds'!O26:T26)</f>
        <v>18351078.989631999</v>
      </c>
      <c r="V26" s="50"/>
      <c r="W26" s="374">
        <f t="shared" si="1"/>
        <v>27237144.225519821</v>
      </c>
      <c r="X26" s="162"/>
      <c r="Y26" s="50">
        <v>26260862</v>
      </c>
      <c r="AA26" s="12"/>
    </row>
    <row r="27" spans="1:27">
      <c r="A27" s="172" t="s">
        <v>83</v>
      </c>
      <c r="B27" s="44"/>
      <c r="C27" s="44"/>
      <c r="D27" s="44"/>
      <c r="E27" s="44">
        <v>0</v>
      </c>
      <c r="F27" s="50"/>
      <c r="G27" s="373"/>
      <c r="H27" s="373"/>
      <c r="I27" s="373"/>
      <c r="J27" s="373"/>
      <c r="K27" s="44"/>
      <c r="L27" s="373">
        <f>'Compile Productivity $'!B24</f>
        <v>0</v>
      </c>
      <c r="M27" s="373">
        <f>'Compile Productivity $'!C24</f>
        <v>0</v>
      </c>
      <c r="N27" s="373">
        <f>'Compile Productivity $'!D24</f>
        <v>0</v>
      </c>
      <c r="O27" s="373">
        <f>'Compile Productivity $'!E24</f>
        <v>0</v>
      </c>
      <c r="P27" s="373">
        <f>'Compile Productivity $'!F24</f>
        <v>0</v>
      </c>
      <c r="Q27" s="373">
        <f>'Compile Productivity $'!G24</f>
        <v>0</v>
      </c>
      <c r="R27" s="373"/>
      <c r="S27" s="44"/>
      <c r="T27" s="373">
        <f>'Step 1 Dedicated Funds'!N27</f>
        <v>0</v>
      </c>
      <c r="U27" s="373">
        <f>SUM('Step 1 Dedicated Funds'!O27:T27)</f>
        <v>0</v>
      </c>
      <c r="V27" s="50"/>
      <c r="W27" s="373">
        <f t="shared" si="1"/>
        <v>0</v>
      </c>
      <c r="X27" s="162"/>
      <c r="Y27" s="44">
        <v>0</v>
      </c>
      <c r="AA27" s="12"/>
    </row>
    <row r="28" spans="1:27">
      <c r="A28" s="173" t="s">
        <v>84</v>
      </c>
      <c r="B28" s="40"/>
      <c r="C28" s="40"/>
      <c r="D28" s="40"/>
      <c r="E28" s="1835">
        <v>230000</v>
      </c>
      <c r="F28" s="50"/>
      <c r="G28" s="372"/>
      <c r="H28" s="372"/>
      <c r="I28" s="372"/>
      <c r="J28" s="372"/>
      <c r="K28" s="44"/>
      <c r="L28" s="372">
        <f>'Compile Productivity $'!B25</f>
        <v>206727.42068329093</v>
      </c>
      <c r="M28" s="372">
        <f>'Compile Productivity $'!C25</f>
        <v>617786.12318255415</v>
      </c>
      <c r="N28" s="372">
        <f>'Compile Productivity $'!D25</f>
        <v>14670.080998081467</v>
      </c>
      <c r="O28" s="372">
        <f>'Compile Productivity $'!E25</f>
        <v>0</v>
      </c>
      <c r="P28" s="372">
        <f>'Compile Productivity $'!F25</f>
        <v>2783.2545280186296</v>
      </c>
      <c r="Q28" s="372">
        <f>'Compile Productivity $'!G25</f>
        <v>0</v>
      </c>
      <c r="R28" s="372"/>
      <c r="S28" s="44"/>
      <c r="T28" s="372">
        <f>'Step 1 Dedicated Funds'!N28</f>
        <v>-22200</v>
      </c>
      <c r="U28" s="372">
        <f>SUM('Step 1 Dedicated Funds'!O28:T28)</f>
        <v>2010259.38</v>
      </c>
      <c r="V28" s="50"/>
      <c r="W28" s="372">
        <f t="shared" si="1"/>
        <v>3060026.2593919449</v>
      </c>
      <c r="X28" s="162"/>
      <c r="Y28" s="40">
        <v>2999580</v>
      </c>
      <c r="AA28" s="12"/>
    </row>
    <row r="29" spans="1:27">
      <c r="A29" s="49" t="s">
        <v>86</v>
      </c>
      <c r="B29" s="50"/>
      <c r="C29" s="50"/>
      <c r="D29" s="50"/>
      <c r="E29" s="50">
        <v>0</v>
      </c>
      <c r="F29" s="50"/>
      <c r="G29" s="50"/>
      <c r="H29" s="50"/>
      <c r="I29" s="50"/>
      <c r="J29" s="50"/>
      <c r="K29" s="50"/>
      <c r="L29" s="50">
        <f>'Compile Productivity $'!B26</f>
        <v>0</v>
      </c>
      <c r="M29" s="50">
        <f>'Compile Productivity $'!C26</f>
        <v>0</v>
      </c>
      <c r="N29" s="50">
        <f>'Compile Productivity $'!D26</f>
        <v>0</v>
      </c>
      <c r="O29" s="50">
        <f>'Compile Productivity $'!E26</f>
        <v>0</v>
      </c>
      <c r="P29" s="50">
        <f>'Compile Productivity $'!F26</f>
        <v>0</v>
      </c>
      <c r="Q29" s="50">
        <f>'Compile Productivity $'!G26</f>
        <v>0</v>
      </c>
      <c r="R29" s="50"/>
      <c r="S29" s="50"/>
      <c r="T29" s="50">
        <f>'Step 1 Dedicated Funds'!N29</f>
        <v>0</v>
      </c>
      <c r="U29" s="50">
        <f>SUM('Step 1 Dedicated Funds'!O29:T29)</f>
        <v>21222276</v>
      </c>
      <c r="V29" s="50"/>
      <c r="W29" s="50">
        <f t="shared" si="1"/>
        <v>21222276</v>
      </c>
      <c r="X29" s="162"/>
      <c r="Y29" s="50">
        <v>19821377</v>
      </c>
      <c r="AA29" s="12"/>
    </row>
    <row r="30" spans="1:27">
      <c r="A30" s="172" t="s">
        <v>87</v>
      </c>
      <c r="B30" s="44"/>
      <c r="C30" s="44"/>
      <c r="D30" s="44"/>
      <c r="E30" s="44">
        <v>0</v>
      </c>
      <c r="F30" s="50"/>
      <c r="G30" s="44"/>
      <c r="H30" s="44"/>
      <c r="I30" s="44"/>
      <c r="J30" s="44"/>
      <c r="K30" s="44"/>
      <c r="L30" s="44">
        <f>'Compile Productivity $'!B27</f>
        <v>0</v>
      </c>
      <c r="M30" s="44">
        <f>'Compile Productivity $'!C27</f>
        <v>0</v>
      </c>
      <c r="N30" s="44">
        <f>'Compile Productivity $'!D27</f>
        <v>0</v>
      </c>
      <c r="O30" s="44">
        <f>'Compile Productivity $'!E27</f>
        <v>0</v>
      </c>
      <c r="P30" s="44">
        <f>'Compile Productivity $'!F27</f>
        <v>0</v>
      </c>
      <c r="Q30" s="44">
        <f>'Compile Productivity $'!G27</f>
        <v>0</v>
      </c>
      <c r="R30" s="44"/>
      <c r="S30" s="44"/>
      <c r="T30" s="44">
        <f>'Step 1 Dedicated Funds'!N30</f>
        <v>0</v>
      </c>
      <c r="U30" s="44">
        <f>SUM('Step 1 Dedicated Funds'!O30:T30)</f>
        <v>5263200</v>
      </c>
      <c r="V30" s="50"/>
      <c r="W30" s="44">
        <f t="shared" si="1"/>
        <v>5263200</v>
      </c>
      <c r="X30" s="162"/>
      <c r="Y30" s="44">
        <v>3440000</v>
      </c>
      <c r="AA30" s="12"/>
    </row>
    <row r="31" spans="1:27">
      <c r="A31" s="359" t="s">
        <v>452</v>
      </c>
      <c r="B31" s="221"/>
      <c r="C31" s="221"/>
      <c r="D31" s="221"/>
      <c r="E31" s="221">
        <v>0</v>
      </c>
      <c r="F31" s="50"/>
      <c r="G31" s="221"/>
      <c r="H31" s="221"/>
      <c r="I31" s="221"/>
      <c r="J31" s="221"/>
      <c r="K31" s="44"/>
      <c r="L31" s="221">
        <f>'Compile Productivity $'!B28</f>
        <v>0</v>
      </c>
      <c r="M31" s="221">
        <f>'Compile Productivity $'!C28</f>
        <v>0</v>
      </c>
      <c r="N31" s="221">
        <f>'Compile Productivity $'!D28</f>
        <v>0</v>
      </c>
      <c r="O31" s="221">
        <f>'Compile Productivity $'!E28</f>
        <v>0</v>
      </c>
      <c r="P31" s="221">
        <f>'Compile Productivity $'!F28</f>
        <v>0</v>
      </c>
      <c r="Q31" s="221">
        <f>'Compile Productivity $'!G28</f>
        <v>0</v>
      </c>
      <c r="R31" s="221"/>
      <c r="S31" s="44"/>
      <c r="T31" s="221">
        <f>'Step 1 Dedicated Funds'!N31</f>
        <v>0</v>
      </c>
      <c r="U31" s="221">
        <f>SUM('Step 1 Dedicated Funds'!O31:T31)</f>
        <v>0</v>
      </c>
      <c r="V31" s="50"/>
      <c r="W31" s="221">
        <f t="shared" si="1"/>
        <v>0</v>
      </c>
      <c r="X31" s="162"/>
      <c r="Y31" s="221">
        <v>816537</v>
      </c>
    </row>
    <row r="32" spans="1:27">
      <c r="A32" s="358" t="s">
        <v>453</v>
      </c>
      <c r="B32" s="50"/>
      <c r="C32" s="50"/>
      <c r="D32" s="50"/>
      <c r="E32" s="50">
        <v>0</v>
      </c>
      <c r="F32" s="50"/>
      <c r="G32" s="50"/>
      <c r="H32" s="50"/>
      <c r="I32" s="50"/>
      <c r="J32" s="50"/>
      <c r="K32" s="50"/>
      <c r="L32" s="50">
        <f>'Compile Productivity $'!B29</f>
        <v>328914.42536333157</v>
      </c>
      <c r="M32" s="50">
        <f>'Compile Productivity $'!C29</f>
        <v>0</v>
      </c>
      <c r="N32" s="50">
        <f>'Compile Productivity $'!D29</f>
        <v>370497.19761718827</v>
      </c>
      <c r="O32" s="50">
        <f>'Compile Productivity $'!E29</f>
        <v>0</v>
      </c>
      <c r="P32" s="50">
        <f>'Compile Productivity $'!F29</f>
        <v>70348.976194120813</v>
      </c>
      <c r="Q32" s="50">
        <f>'Compile Productivity $'!G29</f>
        <v>385651.70690689521</v>
      </c>
      <c r="R32" s="50"/>
      <c r="S32" s="50"/>
      <c r="T32" s="50">
        <f>'Step 1 Dedicated Funds'!N32</f>
        <v>0</v>
      </c>
      <c r="U32" s="50">
        <f>SUM('Step 1 Dedicated Funds'!O32:T32)</f>
        <v>0</v>
      </c>
      <c r="V32" s="50"/>
      <c r="W32" s="50">
        <f t="shared" si="1"/>
        <v>1155412.306081536</v>
      </c>
      <c r="X32" s="162"/>
      <c r="Y32" s="50">
        <v>957607</v>
      </c>
    </row>
    <row r="33" spans="1:25">
      <c r="A33" s="172" t="s">
        <v>88</v>
      </c>
      <c r="B33" s="44"/>
      <c r="C33" s="44"/>
      <c r="D33" s="44"/>
      <c r="E33" s="44">
        <v>0</v>
      </c>
      <c r="F33" s="50"/>
      <c r="G33" s="44"/>
      <c r="H33" s="44"/>
      <c r="I33" s="44"/>
      <c r="J33" s="44"/>
      <c r="K33" s="44"/>
      <c r="L33" s="44">
        <f>'Compile Productivity $'!B30</f>
        <v>0</v>
      </c>
      <c r="M33" s="44">
        <f>'Compile Productivity $'!C30</f>
        <v>0</v>
      </c>
      <c r="N33" s="44">
        <f>'Compile Productivity $'!D30</f>
        <v>0</v>
      </c>
      <c r="O33" s="44">
        <f>'Compile Productivity $'!E30</f>
        <v>1809.122006452656</v>
      </c>
      <c r="P33" s="44">
        <f>'Compile Productivity $'!F30</f>
        <v>0</v>
      </c>
      <c r="Q33" s="44">
        <f>'Compile Productivity $'!G30</f>
        <v>0</v>
      </c>
      <c r="R33" s="44"/>
      <c r="S33" s="44"/>
      <c r="T33" s="44">
        <f>'Step 1 Dedicated Funds'!N33</f>
        <v>-19667.72</v>
      </c>
      <c r="U33" s="44">
        <f>SUM('Step 1 Dedicated Funds'!O33:T33)</f>
        <v>2897380</v>
      </c>
      <c r="V33" s="50"/>
      <c r="W33" s="44">
        <f t="shared" si="1"/>
        <v>2879521.4020064524</v>
      </c>
      <c r="X33" s="162"/>
      <c r="Y33" s="44">
        <v>14975151</v>
      </c>
    </row>
    <row r="34" spans="1:25">
      <c r="A34" s="359" t="s">
        <v>89</v>
      </c>
      <c r="B34" s="221"/>
      <c r="C34" s="221"/>
      <c r="D34" s="221"/>
      <c r="E34" s="221">
        <f>8262240</f>
        <v>8262240</v>
      </c>
      <c r="F34" s="50"/>
      <c r="G34" s="375"/>
      <c r="H34" s="375"/>
      <c r="I34" s="375"/>
      <c r="J34" s="375"/>
      <c r="K34" s="44"/>
      <c r="L34" s="375">
        <f>'Compile Productivity $'!B31</f>
        <v>0</v>
      </c>
      <c r="M34" s="375">
        <f>'Compile Productivity $'!C31</f>
        <v>0</v>
      </c>
      <c r="N34" s="375">
        <f>'Compile Productivity $'!D31</f>
        <v>0</v>
      </c>
      <c r="O34" s="375">
        <f>'Compile Productivity $'!E31</f>
        <v>829840.57305342832</v>
      </c>
      <c r="P34" s="375">
        <f>'Compile Productivity $'!F31</f>
        <v>0</v>
      </c>
      <c r="Q34" s="375">
        <f>'Compile Productivity $'!G31</f>
        <v>0</v>
      </c>
      <c r="R34" s="375"/>
      <c r="S34" s="44"/>
      <c r="T34" s="375">
        <f>'Step 1 Dedicated Funds'!N34</f>
        <v>-102890.19200000001</v>
      </c>
      <c r="U34" s="375">
        <f>SUM('Step 1 Dedicated Funds'!O34:T34)</f>
        <v>2080908</v>
      </c>
      <c r="V34" s="50"/>
      <c r="W34" s="375">
        <f t="shared" si="1"/>
        <v>11070098.381053429</v>
      </c>
      <c r="X34" s="162"/>
      <c r="Y34" s="221">
        <v>11507823</v>
      </c>
    </row>
    <row r="35" spans="1:25">
      <c r="A35" s="362" t="s">
        <v>90</v>
      </c>
      <c r="B35" s="363">
        <f>SUM(B16:B34)</f>
        <v>0</v>
      </c>
      <c r="C35" s="363">
        <f>SUM(C16:C34)</f>
        <v>0</v>
      </c>
      <c r="D35" s="363"/>
      <c r="E35" s="363">
        <f>SUM(E16:E34)</f>
        <v>22006904</v>
      </c>
      <c r="F35" s="635"/>
      <c r="G35" s="363"/>
      <c r="H35" s="363"/>
      <c r="I35" s="363"/>
      <c r="J35" s="363">
        <f t="shared" ref="J35:R35" si="2">SUM(J16:J34)</f>
        <v>0</v>
      </c>
      <c r="K35" s="363">
        <f t="shared" si="2"/>
        <v>0</v>
      </c>
      <c r="L35" s="363">
        <f t="shared" si="2"/>
        <v>69115412.091267839</v>
      </c>
      <c r="M35" s="363">
        <f t="shared" si="2"/>
        <v>41387989.474827394</v>
      </c>
      <c r="N35" s="363">
        <f t="shared" si="2"/>
        <v>61156448.238398336</v>
      </c>
      <c r="O35" s="363">
        <f t="shared" si="2"/>
        <v>7887527.2178853881</v>
      </c>
      <c r="P35" s="363">
        <f t="shared" si="2"/>
        <v>7159832.1883923607</v>
      </c>
      <c r="Q35" s="363">
        <f t="shared" si="2"/>
        <v>31836914.980636451</v>
      </c>
      <c r="R35" s="363">
        <f t="shared" si="2"/>
        <v>0</v>
      </c>
      <c r="S35" s="363"/>
      <c r="T35" s="363">
        <f>SUM(T16:T34)</f>
        <v>-2644029.9160000002</v>
      </c>
      <c r="U35" s="363">
        <f>SUM(U16:U34)</f>
        <v>101576114.16776375</v>
      </c>
      <c r="V35" s="636"/>
      <c r="W35" s="363">
        <f>SUM(W15:W34)</f>
        <v>339483112.44317156</v>
      </c>
      <c r="X35" s="162"/>
      <c r="Y35" s="1825">
        <f>SUM(Y16:Y34)</f>
        <v>347579114</v>
      </c>
    </row>
    <row r="36" spans="1:25">
      <c r="A36" s="172"/>
      <c r="B36" s="42"/>
      <c r="C36" s="42"/>
      <c r="D36" s="42"/>
      <c r="E36" s="42"/>
      <c r="F36" s="175"/>
      <c r="G36" s="42"/>
      <c r="H36" s="42"/>
      <c r="I36" s="42"/>
      <c r="J36" s="42"/>
      <c r="K36" s="42"/>
      <c r="L36" s="42"/>
      <c r="M36" s="42"/>
      <c r="N36" s="42"/>
      <c r="O36" s="42"/>
      <c r="P36" s="42"/>
      <c r="Q36" s="42"/>
      <c r="R36" s="42"/>
      <c r="S36" s="42"/>
      <c r="T36" s="42"/>
      <c r="U36" s="42"/>
      <c r="V36" s="42"/>
      <c r="W36" s="42"/>
      <c r="X36" s="162"/>
      <c r="Y36" s="42"/>
    </row>
    <row r="37" spans="1:25">
      <c r="A37" s="162"/>
      <c r="F37" s="43"/>
      <c r="K37" s="42"/>
      <c r="S37" s="42"/>
      <c r="V37" s="42"/>
      <c r="X37" s="167"/>
    </row>
    <row r="38" spans="1:25">
      <c r="A38" s="49" t="s">
        <v>91</v>
      </c>
      <c r="B38" s="50"/>
      <c r="C38" s="50"/>
      <c r="D38" s="50"/>
      <c r="E38" s="50"/>
      <c r="F38" s="43"/>
      <c r="G38" s="50"/>
      <c r="H38" s="50"/>
      <c r="I38" s="50"/>
      <c r="J38" s="50"/>
      <c r="K38" s="50"/>
      <c r="L38" s="50"/>
      <c r="M38" s="50"/>
      <c r="N38" s="50"/>
      <c r="O38" s="50"/>
      <c r="P38" s="50"/>
      <c r="Q38" s="50"/>
      <c r="R38" s="50"/>
      <c r="S38" s="50"/>
      <c r="T38" s="50"/>
      <c r="U38" s="50"/>
      <c r="V38" s="50"/>
      <c r="W38" s="50"/>
      <c r="X38" s="162"/>
      <c r="Y38" s="50"/>
    </row>
    <row r="39" spans="1:25">
      <c r="A39" s="173" t="s">
        <v>92</v>
      </c>
      <c r="B39" s="40"/>
      <c r="C39" s="40"/>
      <c r="D39" s="40"/>
      <c r="E39" s="40"/>
      <c r="F39" s="50"/>
      <c r="G39" s="372">
        <f>'Step 1 Dedicated Funds'!G39</f>
        <v>0</v>
      </c>
      <c r="H39" s="372">
        <f>'Step 1 Dedicated Funds'!H39</f>
        <v>0</v>
      </c>
      <c r="I39" s="372">
        <f>'Step 1 Dedicated Funds'!I39</f>
        <v>0</v>
      </c>
      <c r="J39" s="372">
        <f>'Step 1 Dedicated Funds'!J39</f>
        <v>0</v>
      </c>
      <c r="K39" s="177"/>
      <c r="L39" s="372">
        <f>'Compile Productivity $'!B36</f>
        <v>0</v>
      </c>
      <c r="M39" s="372">
        <f>'Compile Productivity $'!C36</f>
        <v>0</v>
      </c>
      <c r="N39" s="372">
        <f>'Compile Productivity $'!D36</f>
        <v>0</v>
      </c>
      <c r="O39" s="372">
        <f>'Compile Productivity $'!E36</f>
        <v>7.3258350761008657</v>
      </c>
      <c r="P39" s="372">
        <f>'Compile Productivity $'!F36</f>
        <v>0</v>
      </c>
      <c r="Q39" s="372">
        <f>'Compile Productivity $'!G36</f>
        <v>0</v>
      </c>
      <c r="R39" s="372"/>
      <c r="S39" s="44"/>
      <c r="T39" s="372">
        <f>'Step 1 Dedicated Funds'!N39</f>
        <v>0</v>
      </c>
      <c r="U39" s="372">
        <f>SUM('Step 1 Dedicated Funds'!O39:T39)</f>
        <v>0</v>
      </c>
      <c r="V39" s="50"/>
      <c r="W39" s="372">
        <f t="shared" ref="W39:W57" si="3">SUM(B39:V39)</f>
        <v>7.3258350761008657</v>
      </c>
      <c r="X39" s="162"/>
      <c r="Y39" s="40">
        <v>8919523</v>
      </c>
    </row>
    <row r="40" spans="1:25">
      <c r="A40" s="358" t="s">
        <v>336</v>
      </c>
      <c r="B40" s="50"/>
      <c r="C40" s="50"/>
      <c r="D40" s="50"/>
      <c r="E40" s="44"/>
      <c r="F40" s="50"/>
      <c r="G40" s="50"/>
      <c r="H40" s="50"/>
      <c r="I40" s="50"/>
      <c r="J40" s="50"/>
      <c r="K40" s="50"/>
      <c r="L40" s="178"/>
      <c r="M40" s="50"/>
      <c r="N40" s="50">
        <f>-O$3*O40-Q$3*Q40-R$3*R40-S$3*S40-T$3*T40</f>
        <v>0</v>
      </c>
      <c r="O40" s="50">
        <v>0</v>
      </c>
      <c r="P40" s="50"/>
      <c r="Q40" s="175"/>
      <c r="R40" s="44">
        <v>0</v>
      </c>
      <c r="S40" s="44"/>
      <c r="T40" s="379">
        <v>0</v>
      </c>
      <c r="V40" s="50"/>
      <c r="W40" s="372"/>
      <c r="X40" s="162"/>
      <c r="Y40" s="50">
        <v>7177760</v>
      </c>
    </row>
    <row r="41" spans="1:25">
      <c r="A41" s="172" t="s">
        <v>93</v>
      </c>
      <c r="B41" s="50"/>
      <c r="C41" s="50"/>
      <c r="D41" s="50"/>
      <c r="E41" s="44"/>
      <c r="F41" s="178"/>
      <c r="G41" s="374">
        <f>'Step 1 Dedicated Funds'!G41</f>
        <v>0</v>
      </c>
      <c r="H41" s="374">
        <f>'Step 1 Dedicated Funds'!H41</f>
        <v>0</v>
      </c>
      <c r="I41" s="374">
        <f>'Step 1 Dedicated Funds'!I41</f>
        <v>0</v>
      </c>
      <c r="J41" s="374">
        <f>'Step 1 Dedicated Funds'!J41</f>
        <v>0</v>
      </c>
      <c r="K41" s="50"/>
      <c r="L41" s="374">
        <f>'Compile Productivity $'!B37</f>
        <v>0</v>
      </c>
      <c r="M41" s="374">
        <f>'Compile Productivity $'!C37</f>
        <v>0</v>
      </c>
      <c r="N41" s="374">
        <f>'Compile Productivity $'!D37</f>
        <v>0</v>
      </c>
      <c r="O41" s="374">
        <f>'Compile Productivity $'!E37</f>
        <v>0</v>
      </c>
      <c r="P41" s="374">
        <f>'Compile Productivity $'!F37</f>
        <v>0</v>
      </c>
      <c r="Q41" s="374">
        <f>'Compile Productivity $'!G37</f>
        <v>0</v>
      </c>
      <c r="R41" s="374"/>
      <c r="S41" s="50"/>
      <c r="T41" s="374">
        <f>'Step 1 Dedicated Funds'!N41</f>
        <v>-666</v>
      </c>
      <c r="U41" s="374">
        <f>SUM('Step 1 Dedicated Funds'!O41:T41)</f>
        <v>9000</v>
      </c>
      <c r="V41" s="50"/>
      <c r="W41" s="374">
        <f t="shared" si="3"/>
        <v>8334</v>
      </c>
      <c r="X41" s="162"/>
      <c r="Y41" s="50">
        <v>4081953</v>
      </c>
    </row>
    <row r="42" spans="1:25">
      <c r="A42" s="49" t="s">
        <v>94</v>
      </c>
      <c r="B42" s="50"/>
      <c r="C42" s="50"/>
      <c r="D42" s="50"/>
      <c r="E42" s="44"/>
      <c r="F42" s="50"/>
      <c r="G42" s="374">
        <f>'Step 1 Dedicated Funds'!G42</f>
        <v>0</v>
      </c>
      <c r="H42" s="374">
        <f>'Step 1 Dedicated Funds'!H42</f>
        <v>0</v>
      </c>
      <c r="I42" s="374">
        <f>'Step 1 Dedicated Funds'!I42</f>
        <v>0</v>
      </c>
      <c r="J42" s="374">
        <f>'Step 1 Dedicated Funds'!J42</f>
        <v>0</v>
      </c>
      <c r="K42" s="178"/>
      <c r="L42" s="374">
        <f>'Compile Productivity $'!B38</f>
        <v>0</v>
      </c>
      <c r="M42" s="374">
        <f>'Compile Productivity $'!C38</f>
        <v>0</v>
      </c>
      <c r="N42" s="374">
        <f>'Compile Productivity $'!D38</f>
        <v>0</v>
      </c>
      <c r="O42" s="374">
        <f>'Compile Productivity $'!E38</f>
        <v>0</v>
      </c>
      <c r="P42" s="374">
        <f>'Compile Productivity $'!F38</f>
        <v>0</v>
      </c>
      <c r="Q42" s="374">
        <f>'Compile Productivity $'!G38</f>
        <v>0</v>
      </c>
      <c r="R42" s="374"/>
      <c r="S42" s="50"/>
      <c r="T42" s="374">
        <f>'Step 1 Dedicated Funds'!N42</f>
        <v>0</v>
      </c>
      <c r="U42" s="374">
        <f>SUM('Step 1 Dedicated Funds'!O42:T42)</f>
        <v>0</v>
      </c>
      <c r="V42" s="50"/>
      <c r="W42" s="374">
        <f t="shared" si="3"/>
        <v>0</v>
      </c>
      <c r="X42" s="162"/>
      <c r="Y42" s="50">
        <v>1512825</v>
      </c>
    </row>
    <row r="43" spans="1:25">
      <c r="A43" s="173" t="s">
        <v>95</v>
      </c>
      <c r="B43" s="40"/>
      <c r="C43" s="40"/>
      <c r="D43" s="40"/>
      <c r="E43" s="40"/>
      <c r="F43" s="178"/>
      <c r="G43" s="372">
        <f>'Step 1 Dedicated Funds'!G43</f>
        <v>0</v>
      </c>
      <c r="H43" s="372">
        <f>'Step 1 Dedicated Funds'!H43</f>
        <v>0</v>
      </c>
      <c r="I43" s="372">
        <f>'Step 1 Dedicated Funds'!I43</f>
        <v>0</v>
      </c>
      <c r="J43" s="372">
        <f>'Step 1 Dedicated Funds'!J43</f>
        <v>0</v>
      </c>
      <c r="K43" s="177"/>
      <c r="L43" s="372">
        <f>'Compile Productivity $'!B39</f>
        <v>0</v>
      </c>
      <c r="M43" s="372">
        <f>'Compile Productivity $'!C39</f>
        <v>0</v>
      </c>
      <c r="N43" s="372">
        <f>'Compile Productivity $'!D39</f>
        <v>0</v>
      </c>
      <c r="O43" s="372">
        <f>'Compile Productivity $'!E39</f>
        <v>0</v>
      </c>
      <c r="P43" s="372">
        <f>'Compile Productivity $'!F39</f>
        <v>0</v>
      </c>
      <c r="Q43" s="372">
        <f>'Compile Productivity $'!G39</f>
        <v>0</v>
      </c>
      <c r="R43" s="372"/>
      <c r="S43" s="44"/>
      <c r="T43" s="372">
        <f>'Step 1 Dedicated Funds'!N43</f>
        <v>0</v>
      </c>
      <c r="U43" s="372">
        <f>SUM('Step 1 Dedicated Funds'!O43:T43)</f>
        <v>0</v>
      </c>
      <c r="V43" s="50"/>
      <c r="W43" s="372">
        <f t="shared" si="3"/>
        <v>0</v>
      </c>
      <c r="X43" s="162"/>
      <c r="Y43" s="40">
        <v>2951197</v>
      </c>
    </row>
    <row r="44" spans="1:25">
      <c r="A44" s="172" t="s">
        <v>96</v>
      </c>
      <c r="B44" s="50"/>
      <c r="C44" s="50"/>
      <c r="D44" s="50"/>
      <c r="E44" s="50"/>
      <c r="F44" s="178"/>
      <c r="G44" s="374">
        <f>'Step 1 Dedicated Funds'!G44</f>
        <v>0</v>
      </c>
      <c r="H44" s="374">
        <f>'Step 1 Dedicated Funds'!H44</f>
        <v>0</v>
      </c>
      <c r="I44" s="374">
        <f>'Step 1 Dedicated Funds'!I44</f>
        <v>0</v>
      </c>
      <c r="J44" s="374">
        <f>'Step 1 Dedicated Funds'!J44</f>
        <v>0</v>
      </c>
      <c r="K44" s="50"/>
      <c r="L44" s="374">
        <f>'Compile Productivity $'!B40</f>
        <v>0</v>
      </c>
      <c r="M44" s="374">
        <f>'Compile Productivity $'!C40</f>
        <v>0</v>
      </c>
      <c r="N44" s="374">
        <f>'Compile Productivity $'!D40</f>
        <v>0</v>
      </c>
      <c r="O44" s="374">
        <f>'Compile Productivity $'!E40</f>
        <v>44542.69768917637</v>
      </c>
      <c r="P44" s="374">
        <f>'Compile Productivity $'!F40</f>
        <v>0</v>
      </c>
      <c r="Q44" s="374">
        <f>'Compile Productivity $'!G40</f>
        <v>0</v>
      </c>
      <c r="R44" s="374"/>
      <c r="S44" s="50"/>
      <c r="T44" s="374">
        <f>'Step 1 Dedicated Funds'!N44</f>
        <v>-247900</v>
      </c>
      <c r="U44" s="374">
        <f>SUM('Step 1 Dedicated Funds'!O44:T44)</f>
        <v>3350000</v>
      </c>
      <c r="V44" s="50"/>
      <c r="W44" s="374">
        <f t="shared" si="3"/>
        <v>3146642.6976891765</v>
      </c>
      <c r="X44" s="162"/>
      <c r="Y44" s="50">
        <v>10531320</v>
      </c>
    </row>
    <row r="45" spans="1:25">
      <c r="A45" s="358" t="s">
        <v>474</v>
      </c>
      <c r="B45" s="50"/>
      <c r="C45" s="50"/>
      <c r="D45" s="50"/>
      <c r="E45" s="50"/>
      <c r="F45" s="50"/>
      <c r="G45" s="374">
        <f>'Step 1 Dedicated Funds'!G45</f>
        <v>0</v>
      </c>
      <c r="H45" s="374">
        <f>'Step 1 Dedicated Funds'!H45</f>
        <v>0</v>
      </c>
      <c r="I45" s="374">
        <f>'Step 1 Dedicated Funds'!I45</f>
        <v>0</v>
      </c>
      <c r="J45" s="374">
        <f>'Step 1 Dedicated Funds'!J45</f>
        <v>0</v>
      </c>
      <c r="K45" s="50"/>
      <c r="L45" s="374">
        <f>'Compile Productivity $'!B41</f>
        <v>476176.44899038284</v>
      </c>
      <c r="M45" s="374">
        <f>'Compile Productivity $'!C41</f>
        <v>0</v>
      </c>
      <c r="N45" s="374">
        <f>'Compile Productivity $'!D41</f>
        <v>122753.29593494974</v>
      </c>
      <c r="O45" s="374">
        <f>'Compile Productivity $'!E41</f>
        <v>847.89757825241929</v>
      </c>
      <c r="P45" s="374">
        <f>'Compile Productivity $'!F41</f>
        <v>1957.2524357536504</v>
      </c>
      <c r="Q45" s="374">
        <f>'Compile Productivity $'!G41</f>
        <v>0</v>
      </c>
      <c r="R45" s="374"/>
      <c r="S45" s="50"/>
      <c r="T45" s="374">
        <f>'Step 1 Dedicated Funds'!N45</f>
        <v>-141710</v>
      </c>
      <c r="U45" s="374">
        <f>SUM('Step 1 Dedicated Funds'!O45:T45)</f>
        <v>1915000</v>
      </c>
      <c r="V45" s="50"/>
      <c r="W45" s="374">
        <f t="shared" si="3"/>
        <v>2375024.8949393388</v>
      </c>
      <c r="X45" s="162"/>
      <c r="Y45" s="50">
        <v>6381261</v>
      </c>
    </row>
    <row r="46" spans="1:25">
      <c r="A46" s="172" t="s">
        <v>1947</v>
      </c>
      <c r="B46" s="50"/>
      <c r="C46" s="50"/>
      <c r="D46" s="50"/>
      <c r="E46" s="50"/>
      <c r="F46" s="50"/>
      <c r="G46" s="374">
        <f>'Step 1 Dedicated Funds'!G46</f>
        <v>0</v>
      </c>
      <c r="H46" s="374">
        <f>'Step 1 Dedicated Funds'!H46</f>
        <v>678606.19400000002</v>
      </c>
      <c r="I46" s="374">
        <f>'Step 1 Dedicated Funds'!I46</f>
        <v>0</v>
      </c>
      <c r="J46" s="374">
        <f>'Step 1 Dedicated Funds'!J46</f>
        <v>0</v>
      </c>
      <c r="K46" s="50"/>
      <c r="L46" s="374">
        <f>'Compile Productivity $'!B42</f>
        <v>0</v>
      </c>
      <c r="M46" s="374">
        <f>'Compile Productivity $'!C42</f>
        <v>0</v>
      </c>
      <c r="N46" s="374">
        <f>'Compile Productivity $'!D42</f>
        <v>0</v>
      </c>
      <c r="O46" s="374">
        <f>'Compile Productivity $'!E42</f>
        <v>4934.5384274804937</v>
      </c>
      <c r="P46" s="374">
        <f>'Compile Productivity $'!F42</f>
        <v>0</v>
      </c>
      <c r="Q46" s="374">
        <f>'Compile Productivity $'!G42</f>
        <v>0</v>
      </c>
      <c r="R46" s="374"/>
      <c r="S46" s="50"/>
      <c r="T46" s="374">
        <f>'Step 1 Dedicated Funds'!N46</f>
        <v>-3700</v>
      </c>
      <c r="U46" s="374">
        <f>SUM('Step 1 Dedicated Funds'!O46:T46)</f>
        <v>50000</v>
      </c>
      <c r="V46" s="50"/>
      <c r="W46" s="374">
        <f t="shared" si="3"/>
        <v>729840.73242748051</v>
      </c>
      <c r="X46" s="162"/>
      <c r="Y46" s="50">
        <v>1904613</v>
      </c>
    </row>
    <row r="47" spans="1:25">
      <c r="A47" s="173" t="s">
        <v>98</v>
      </c>
      <c r="B47" s="40"/>
      <c r="C47" s="40"/>
      <c r="D47" s="40"/>
      <c r="E47" s="40"/>
      <c r="F47" s="50"/>
      <c r="G47" s="372">
        <f>'Step 1 Dedicated Funds'!G47</f>
        <v>1066381.162</v>
      </c>
      <c r="H47" s="372">
        <f>'Step 1 Dedicated Funds'!H47</f>
        <v>0</v>
      </c>
      <c r="I47" s="372">
        <f>'Step 1 Dedicated Funds'!I47</f>
        <v>0</v>
      </c>
      <c r="J47" s="372">
        <f>'Step 1 Dedicated Funds'!J47</f>
        <v>0</v>
      </c>
      <c r="K47" s="44"/>
      <c r="L47" s="372">
        <f>'Compile Productivity $'!B43</f>
        <v>0</v>
      </c>
      <c r="M47" s="372">
        <f>'Compile Productivity $'!C43</f>
        <v>0</v>
      </c>
      <c r="N47" s="372">
        <f>'Compile Productivity $'!D43</f>
        <v>0</v>
      </c>
      <c r="O47" s="372">
        <f>'Compile Productivity $'!E43</f>
        <v>602.97011536474429</v>
      </c>
      <c r="P47" s="372">
        <f>'Compile Productivity $'!F43</f>
        <v>0</v>
      </c>
      <c r="Q47" s="372">
        <f>'Compile Productivity $'!G43</f>
        <v>0</v>
      </c>
      <c r="R47" s="372"/>
      <c r="S47" s="44"/>
      <c r="T47" s="372">
        <f>'Step 1 Dedicated Funds'!N47</f>
        <v>-14800</v>
      </c>
      <c r="U47" s="372">
        <f>SUM('Step 1 Dedicated Funds'!O47:T47)</f>
        <v>2831600</v>
      </c>
      <c r="V47" s="50"/>
      <c r="W47" s="372">
        <f t="shared" si="3"/>
        <v>3883784.132115365</v>
      </c>
      <c r="X47" s="162"/>
      <c r="Y47" s="40">
        <v>23770557</v>
      </c>
    </row>
    <row r="48" spans="1:25">
      <c r="A48" s="172" t="s">
        <v>475</v>
      </c>
      <c r="B48" s="50"/>
      <c r="C48" s="50"/>
      <c r="D48" s="50"/>
      <c r="E48" s="50"/>
      <c r="F48" s="50"/>
      <c r="G48" s="374">
        <f>'Step 1 Dedicated Funds'!G48</f>
        <v>242359.35500000001</v>
      </c>
      <c r="H48" s="374">
        <f>'Step 1 Dedicated Funds'!H48</f>
        <v>0</v>
      </c>
      <c r="I48" s="374">
        <f>'Step 1 Dedicated Funds'!I48</f>
        <v>0</v>
      </c>
      <c r="J48" s="374">
        <f>'Step 1 Dedicated Funds'!J48</f>
        <v>0</v>
      </c>
      <c r="K48" s="50"/>
      <c r="L48" s="374">
        <f>'Compile Productivity $'!B44</f>
        <v>0</v>
      </c>
      <c r="M48" s="374">
        <f>'Compile Productivity $'!C44</f>
        <v>0</v>
      </c>
      <c r="N48" s="374">
        <f>'Compile Productivity $'!D44</f>
        <v>0</v>
      </c>
      <c r="O48" s="374">
        <f>'Compile Productivity $'!E44</f>
        <v>0</v>
      </c>
      <c r="P48" s="374">
        <f>'Compile Productivity $'!F44</f>
        <v>0</v>
      </c>
      <c r="Q48" s="374">
        <f>'Compile Productivity $'!G44</f>
        <v>0</v>
      </c>
      <c r="R48" s="374"/>
      <c r="S48" s="50"/>
      <c r="T48" s="374">
        <f>'Step 1 Dedicated Funds'!N48</f>
        <v>-77700</v>
      </c>
      <c r="U48" s="374">
        <f>SUM('Step 1 Dedicated Funds'!O48:T48)</f>
        <v>1488600</v>
      </c>
      <c r="V48" s="50"/>
      <c r="W48" s="374">
        <f t="shared" si="3"/>
        <v>1653259.355</v>
      </c>
      <c r="X48" s="162"/>
      <c r="Y48" s="50">
        <v>4978877</v>
      </c>
    </row>
    <row r="49" spans="1:27">
      <c r="A49" s="49" t="s">
        <v>85</v>
      </c>
      <c r="B49" s="50"/>
      <c r="C49" s="50"/>
      <c r="D49" s="50"/>
      <c r="E49" s="50"/>
      <c r="F49" s="50"/>
      <c r="G49" s="373">
        <f>'Step 1 Dedicated Funds'!G49</f>
        <v>0</v>
      </c>
      <c r="H49" s="373">
        <f>'Step 1 Dedicated Funds'!H49</f>
        <v>0</v>
      </c>
      <c r="I49" s="373">
        <f>'Step 1 Dedicated Funds'!I49</f>
        <v>0</v>
      </c>
      <c r="J49" s="373">
        <f>'Step 1 Dedicated Funds'!J49</f>
        <v>0</v>
      </c>
      <c r="K49" s="50"/>
      <c r="L49" s="373">
        <f>'Compile Productivity $'!B45</f>
        <v>0</v>
      </c>
      <c r="M49" s="373">
        <f>'Compile Productivity $'!C45</f>
        <v>0</v>
      </c>
      <c r="N49" s="373">
        <f>'Compile Productivity $'!D45</f>
        <v>0</v>
      </c>
      <c r="O49" s="373">
        <f>'Compile Productivity $'!E45</f>
        <v>11213.601234313732</v>
      </c>
      <c r="P49" s="373">
        <f>'Compile Productivity $'!F45</f>
        <v>0</v>
      </c>
      <c r="Q49" s="373">
        <f>'Compile Productivity $'!G45</f>
        <v>0</v>
      </c>
      <c r="R49" s="373"/>
      <c r="S49" s="50"/>
      <c r="T49" s="373">
        <f>'Step 1 Dedicated Funds'!N49</f>
        <v>-3330</v>
      </c>
      <c r="U49" s="373">
        <f>SUM('Step 1 Dedicated Funds'!O49:T49)</f>
        <v>45000</v>
      </c>
      <c r="V49" s="50"/>
      <c r="W49" s="373">
        <f t="shared" si="3"/>
        <v>52883.601234313734</v>
      </c>
      <c r="X49" s="162"/>
      <c r="Y49" s="50">
        <v>1507856</v>
      </c>
    </row>
    <row r="50" spans="1:27">
      <c r="A50" s="359" t="s">
        <v>99</v>
      </c>
      <c r="B50" s="222"/>
      <c r="C50" s="222"/>
      <c r="D50" s="222"/>
      <c r="E50" s="222"/>
      <c r="F50" s="50"/>
      <c r="G50" s="372">
        <f>'Step 1 Dedicated Funds'!G50</f>
        <v>242359.35500000001</v>
      </c>
      <c r="H50" s="372">
        <f>'Step 1 Dedicated Funds'!H50</f>
        <v>0</v>
      </c>
      <c r="I50" s="372">
        <f>'Step 1 Dedicated Funds'!I50</f>
        <v>0</v>
      </c>
      <c r="J50" s="372">
        <f>'Step 1 Dedicated Funds'!J50</f>
        <v>0</v>
      </c>
      <c r="K50" s="50"/>
      <c r="L50" s="372">
        <f>'Compile Productivity $'!B46</f>
        <v>0</v>
      </c>
      <c r="M50" s="372">
        <f>'Compile Productivity $'!C46</f>
        <v>0</v>
      </c>
      <c r="N50" s="372">
        <f>'Compile Productivity $'!D46</f>
        <v>0</v>
      </c>
      <c r="O50" s="372">
        <f>'Compile Productivity $'!E46</f>
        <v>0</v>
      </c>
      <c r="P50" s="372">
        <f>'Compile Productivity $'!F46</f>
        <v>0</v>
      </c>
      <c r="Q50" s="372">
        <f>'Compile Productivity $'!G46</f>
        <v>0</v>
      </c>
      <c r="R50" s="372"/>
      <c r="S50" s="50"/>
      <c r="T50" s="372">
        <f>'Step 1 Dedicated Funds'!N50</f>
        <v>0</v>
      </c>
      <c r="U50" s="372">
        <f>SUM('Step 1 Dedicated Funds'!O50:T50)</f>
        <v>3658800</v>
      </c>
      <c r="V50" s="50"/>
      <c r="W50" s="372">
        <f t="shared" si="3"/>
        <v>3901159.355</v>
      </c>
      <c r="X50" s="162"/>
      <c r="Y50" s="222">
        <v>7933343</v>
      </c>
    </row>
    <row r="51" spans="1:27">
      <c r="A51" s="172" t="s">
        <v>100</v>
      </c>
      <c r="B51" s="44"/>
      <c r="C51" s="44"/>
      <c r="D51" s="44"/>
      <c r="E51" s="44"/>
      <c r="F51" s="50"/>
      <c r="G51" s="373">
        <f>'Step 1 Dedicated Funds'!G51</f>
        <v>0</v>
      </c>
      <c r="H51" s="373">
        <f>'Step 1 Dedicated Funds'!H51</f>
        <v>0</v>
      </c>
      <c r="I51" s="373">
        <f>'Step 1 Dedicated Funds'!I51</f>
        <v>0</v>
      </c>
      <c r="J51" s="373">
        <f>'Step 1 Dedicated Funds'!J51</f>
        <v>0</v>
      </c>
      <c r="K51" s="44"/>
      <c r="L51" s="373">
        <f>'Compile Productivity $'!B47</f>
        <v>1245547.2916578825</v>
      </c>
      <c r="M51" s="373">
        <f>'Compile Productivity $'!C47</f>
        <v>0</v>
      </c>
      <c r="N51" s="373">
        <f>'Compile Productivity $'!D47</f>
        <v>103251.23350251638</v>
      </c>
      <c r="O51" s="373">
        <f>'Compile Productivity $'!E47</f>
        <v>9117.4344940086212</v>
      </c>
      <c r="P51" s="373">
        <f>'Compile Productivity $'!F47</f>
        <v>1516.4298150884138</v>
      </c>
      <c r="Q51" s="373">
        <f>'Compile Productivity $'!G47</f>
        <v>0</v>
      </c>
      <c r="R51" s="373"/>
      <c r="S51" s="44"/>
      <c r="T51" s="373">
        <f>'Step 1 Dedicated Funds'!N51</f>
        <v>-112682.538</v>
      </c>
      <c r="U51" s="373">
        <f>SUM('Step 1 Dedicated Funds'!O51:T51)</f>
        <v>1522737</v>
      </c>
      <c r="V51" s="50"/>
      <c r="W51" s="373">
        <f t="shared" si="3"/>
        <v>2769486.8514694958</v>
      </c>
      <c r="X51" s="162"/>
      <c r="Y51" s="44">
        <v>13396050</v>
      </c>
    </row>
    <row r="52" spans="1:27">
      <c r="A52" s="172" t="s">
        <v>101</v>
      </c>
      <c r="B52" s="50"/>
      <c r="C52" s="50"/>
      <c r="D52" s="50"/>
      <c r="E52" s="50"/>
      <c r="F52" s="50"/>
      <c r="G52" s="374">
        <f>'Step 1 Dedicated Funds'!G52</f>
        <v>0</v>
      </c>
      <c r="H52" s="374">
        <f>'Step 1 Dedicated Funds'!H52</f>
        <v>0</v>
      </c>
      <c r="I52" s="374">
        <f>'Step 1 Dedicated Funds'!I52</f>
        <v>0</v>
      </c>
      <c r="J52" s="374">
        <f>'Step 1 Dedicated Funds'!J52</f>
        <v>533190.58100000001</v>
      </c>
      <c r="K52" s="50"/>
      <c r="L52" s="374">
        <f>'Compile Productivity $'!B48</f>
        <v>0</v>
      </c>
      <c r="M52" s="374">
        <f>'Compile Productivity $'!C48</f>
        <v>0</v>
      </c>
      <c r="N52" s="374">
        <f>'Compile Productivity $'!D48</f>
        <v>0</v>
      </c>
      <c r="O52" s="374">
        <f>'Compile Productivity $'!E48</f>
        <v>0</v>
      </c>
      <c r="P52" s="374">
        <f>'Compile Productivity $'!F48</f>
        <v>0</v>
      </c>
      <c r="Q52" s="374">
        <f>'Compile Productivity $'!G48</f>
        <v>0</v>
      </c>
      <c r="R52" s="374"/>
      <c r="S52" s="50"/>
      <c r="T52" s="374">
        <f>'Step 1 Dedicated Funds'!N52</f>
        <v>0</v>
      </c>
      <c r="U52" s="374">
        <f>SUM('Step 1 Dedicated Funds'!O52:T52)</f>
        <v>1754400</v>
      </c>
      <c r="V52" s="50"/>
      <c r="W52" s="374">
        <f t="shared" si="3"/>
        <v>2287590.5810000002</v>
      </c>
      <c r="X52" s="162"/>
      <c r="Y52" s="50">
        <v>13613698</v>
      </c>
    </row>
    <row r="53" spans="1:27">
      <c r="A53" s="359" t="s">
        <v>102</v>
      </c>
      <c r="B53" s="222"/>
      <c r="C53" s="222"/>
      <c r="D53" s="222"/>
      <c r="E53" s="222"/>
      <c r="F53" s="50"/>
      <c r="G53" s="372">
        <f>'Step 1 Dedicated Funds'!G53</f>
        <v>0</v>
      </c>
      <c r="H53" s="372">
        <f>'Step 1 Dedicated Funds'!H53</f>
        <v>0</v>
      </c>
      <c r="I53" s="372">
        <f>'Step 1 Dedicated Funds'!I53</f>
        <v>0</v>
      </c>
      <c r="J53" s="372">
        <f>'Step 1 Dedicated Funds'!J53</f>
        <v>824021.80700000003</v>
      </c>
      <c r="K53" s="50"/>
      <c r="L53" s="372">
        <f>'Compile Productivity $'!B49</f>
        <v>0</v>
      </c>
      <c r="M53" s="372">
        <f>'Compile Productivity $'!C49</f>
        <v>0</v>
      </c>
      <c r="N53" s="372">
        <f>'Compile Productivity $'!D49</f>
        <v>0</v>
      </c>
      <c r="O53" s="372">
        <f>'Compile Productivity $'!E49</f>
        <v>0</v>
      </c>
      <c r="P53" s="372">
        <f>'Compile Productivity $'!F49</f>
        <v>0</v>
      </c>
      <c r="Q53" s="372">
        <f>'Compile Productivity $'!G49</f>
        <v>0</v>
      </c>
      <c r="R53" s="372"/>
      <c r="S53" s="50"/>
      <c r="T53" s="372">
        <f>'Step 1 Dedicated Funds'!N53</f>
        <v>-65120</v>
      </c>
      <c r="U53" s="372">
        <f>SUM('Step 1 Dedicated Funds'!O53:T53)</f>
        <v>2634400</v>
      </c>
      <c r="V53" s="50"/>
      <c r="W53" s="372">
        <f t="shared" si="3"/>
        <v>3393301.807</v>
      </c>
      <c r="X53" s="162"/>
      <c r="Y53" s="222">
        <v>30168812</v>
      </c>
    </row>
    <row r="54" spans="1:27">
      <c r="A54" s="172" t="s">
        <v>103</v>
      </c>
      <c r="B54" s="44"/>
      <c r="C54" s="44"/>
      <c r="D54" s="44"/>
      <c r="E54" s="44"/>
      <c r="F54" s="50"/>
      <c r="G54" s="373">
        <f>'Step 1 Dedicated Funds'!G54</f>
        <v>0</v>
      </c>
      <c r="H54" s="373">
        <f>'Step 1 Dedicated Funds'!H54</f>
        <v>0</v>
      </c>
      <c r="I54" s="373">
        <f>'Step 1 Dedicated Funds'!I54</f>
        <v>0</v>
      </c>
      <c r="J54" s="373">
        <f>'Step 1 Dedicated Funds'!J54</f>
        <v>0</v>
      </c>
      <c r="K54" s="44"/>
      <c r="L54" s="373">
        <f>'Compile Productivity $'!B50</f>
        <v>0</v>
      </c>
      <c r="M54" s="373">
        <f>'Compile Productivity $'!C50</f>
        <v>0</v>
      </c>
      <c r="N54" s="373">
        <f>'Compile Productivity $'!D50</f>
        <v>0</v>
      </c>
      <c r="O54" s="373">
        <f>'Compile Productivity $'!E50</f>
        <v>435.06190005183799</v>
      </c>
      <c r="P54" s="373">
        <f>'Compile Productivity $'!F50</f>
        <v>0</v>
      </c>
      <c r="Q54" s="373">
        <f>'Compile Productivity $'!G50</f>
        <v>0</v>
      </c>
      <c r="R54" s="373"/>
      <c r="S54" s="44"/>
      <c r="T54" s="373">
        <f>'Step 1 Dedicated Funds'!N54</f>
        <v>0</v>
      </c>
      <c r="U54" s="373">
        <f>SUM('Step 1 Dedicated Funds'!O54:T54)</f>
        <v>4824600</v>
      </c>
      <c r="V54" s="50"/>
      <c r="W54" s="373">
        <f t="shared" si="3"/>
        <v>4825035.0619000522</v>
      </c>
      <c r="X54" s="162"/>
      <c r="Y54" s="44">
        <v>18588968</v>
      </c>
    </row>
    <row r="55" spans="1:27">
      <c r="A55" s="172" t="s">
        <v>450</v>
      </c>
      <c r="B55" s="44"/>
      <c r="C55" s="44"/>
      <c r="D55" s="44"/>
      <c r="E55" s="44"/>
      <c r="F55" s="166"/>
      <c r="G55" s="373">
        <f>'Step 1 Dedicated Funds'!G55</f>
        <v>0</v>
      </c>
      <c r="H55" s="373">
        <f>'Step 1 Dedicated Funds'!H55</f>
        <v>0</v>
      </c>
      <c r="I55" s="373">
        <f>'Step 1 Dedicated Funds'!I55</f>
        <v>0</v>
      </c>
      <c r="J55" s="373">
        <f>'Step 1 Dedicated Funds'!J55</f>
        <v>0</v>
      </c>
      <c r="K55" s="44"/>
      <c r="L55" s="373">
        <f>'Compile Productivity $'!B51</f>
        <v>0</v>
      </c>
      <c r="M55" s="373">
        <f>'Compile Productivity $'!C51</f>
        <v>0</v>
      </c>
      <c r="N55" s="373">
        <f>'Compile Productivity $'!D51</f>
        <v>0</v>
      </c>
      <c r="O55" s="373">
        <f>'Compile Productivity $'!E51</f>
        <v>0</v>
      </c>
      <c r="P55" s="373">
        <f>'Compile Productivity $'!F51</f>
        <v>0</v>
      </c>
      <c r="Q55" s="373">
        <f>'Compile Productivity $'!G51</f>
        <v>0</v>
      </c>
      <c r="R55" s="373"/>
      <c r="S55" s="44"/>
      <c r="T55" s="373">
        <f>'Step 1 Dedicated Funds'!N55</f>
        <v>0</v>
      </c>
      <c r="U55" s="373">
        <f>SUM('Step 1 Dedicated Funds'!O55:T55)</f>
        <v>0</v>
      </c>
      <c r="V55" s="50"/>
      <c r="W55" s="373">
        <f t="shared" si="3"/>
        <v>0</v>
      </c>
      <c r="X55" s="162"/>
      <c r="Y55" s="44">
        <v>0</v>
      </c>
    </row>
    <row r="56" spans="1:27">
      <c r="A56" s="377" t="s">
        <v>476</v>
      </c>
      <c r="B56" s="221"/>
      <c r="C56" s="221"/>
      <c r="D56" s="221"/>
      <c r="E56" s="221"/>
      <c r="F56" s="50"/>
      <c r="G56" s="372">
        <f>'Step 1 Dedicated Funds'!G56</f>
        <v>0</v>
      </c>
      <c r="H56" s="372">
        <f>'Step 1 Dedicated Funds'!H56</f>
        <v>0</v>
      </c>
      <c r="I56" s="372">
        <f>'Step 1 Dedicated Funds'!I56</f>
        <v>0</v>
      </c>
      <c r="J56" s="372">
        <f>'Step 1 Dedicated Funds'!J56</f>
        <v>0</v>
      </c>
      <c r="K56" s="44"/>
      <c r="L56" s="372">
        <f>'Compile Productivity $'!B52</f>
        <v>0</v>
      </c>
      <c r="M56" s="372">
        <f>'Compile Productivity $'!C52</f>
        <v>0</v>
      </c>
      <c r="N56" s="372">
        <f>'Compile Productivity $'!D52</f>
        <v>0</v>
      </c>
      <c r="O56" s="372">
        <f>'Compile Productivity $'!E52</f>
        <v>0</v>
      </c>
      <c r="P56" s="372">
        <f>'Compile Productivity $'!F52</f>
        <v>0</v>
      </c>
      <c r="Q56" s="372">
        <f>'Compile Productivity $'!G52</f>
        <v>0</v>
      </c>
      <c r="R56" s="372"/>
      <c r="S56" s="44"/>
      <c r="T56" s="372">
        <f>'Step 1 Dedicated Funds'!N56</f>
        <v>0</v>
      </c>
      <c r="U56" s="372">
        <f>SUM('Step 1 Dedicated Funds'!O56:T56)</f>
        <v>877200</v>
      </c>
      <c r="V56" s="50"/>
      <c r="W56" s="372">
        <f t="shared" si="3"/>
        <v>877200</v>
      </c>
      <c r="X56" s="162"/>
      <c r="Y56" s="222">
        <v>2400967</v>
      </c>
    </row>
    <row r="57" spans="1:27">
      <c r="A57" s="172" t="s">
        <v>104</v>
      </c>
      <c r="B57" s="50"/>
      <c r="C57" s="50"/>
      <c r="D57" s="50"/>
      <c r="E57" s="50"/>
      <c r="F57" s="172"/>
      <c r="G57" s="373">
        <f>'Step 1 Dedicated Funds'!G57</f>
        <v>0</v>
      </c>
      <c r="H57" s="373">
        <f>'Step 1 Dedicated Funds'!H57</f>
        <v>0</v>
      </c>
      <c r="I57" s="373">
        <f>'Step 1 Dedicated Funds'!I57</f>
        <v>0</v>
      </c>
      <c r="J57" s="373">
        <f>'Step 1 Dedicated Funds'!J57</f>
        <v>0</v>
      </c>
      <c r="K57" s="50"/>
      <c r="L57" s="373">
        <f>'Compile Productivity $'!B53</f>
        <v>0</v>
      </c>
      <c r="M57" s="373">
        <f>'Compile Productivity $'!C53</f>
        <v>0</v>
      </c>
      <c r="N57" s="373">
        <f>'Compile Productivity $'!D53</f>
        <v>0</v>
      </c>
      <c r="O57" s="373">
        <f>'Compile Productivity $'!E53</f>
        <v>0</v>
      </c>
      <c r="P57" s="373">
        <f>'Compile Productivity $'!F53</f>
        <v>0</v>
      </c>
      <c r="Q57" s="373">
        <f>'Compile Productivity $'!G53</f>
        <v>0</v>
      </c>
      <c r="R57" s="373"/>
      <c r="S57" s="50"/>
      <c r="T57" s="373">
        <f>'Step 1 Dedicated Funds'!N57</f>
        <v>-5180</v>
      </c>
      <c r="U57" s="373">
        <f>SUM('Step 1 Dedicated Funds'!O57:T57)</f>
        <v>4456000</v>
      </c>
      <c r="V57" s="50"/>
      <c r="W57" s="373">
        <f t="shared" si="3"/>
        <v>4450820</v>
      </c>
      <c r="X57" s="162"/>
      <c r="Y57" s="50">
        <v>12293440</v>
      </c>
    </row>
    <row r="58" spans="1:27">
      <c r="A58" s="366" t="s">
        <v>105</v>
      </c>
      <c r="B58" s="367">
        <f>SUM(B39:B57)</f>
        <v>0</v>
      </c>
      <c r="C58" s="367">
        <f>SUM(C39:C57)</f>
        <v>0</v>
      </c>
      <c r="D58" s="367"/>
      <c r="E58" s="367">
        <f>SUM(E39:E57)</f>
        <v>0</v>
      </c>
      <c r="F58" s="381"/>
      <c r="G58" s="367">
        <f>SUM(G39:G57)</f>
        <v>1551099.872</v>
      </c>
      <c r="H58" s="367">
        <f>SUM(H39:H57)</f>
        <v>678606.19400000002</v>
      </c>
      <c r="I58" s="367">
        <f>SUM(I39:I57)</f>
        <v>0</v>
      </c>
      <c r="J58" s="367">
        <f>SUM(J39:J57)</f>
        <v>1357212.388</v>
      </c>
      <c r="K58" s="168">
        <f t="shared" ref="K58:R58" si="4">SUM(K39:K57)</f>
        <v>0</v>
      </c>
      <c r="L58" s="367">
        <f t="shared" si="4"/>
        <v>1721723.7406482655</v>
      </c>
      <c r="M58" s="367">
        <f t="shared" si="4"/>
        <v>0</v>
      </c>
      <c r="N58" s="367">
        <f t="shared" si="4"/>
        <v>226004.52943746612</v>
      </c>
      <c r="O58" s="367">
        <f t="shared" si="4"/>
        <v>71701.527273724321</v>
      </c>
      <c r="P58" s="367">
        <f t="shared" si="4"/>
        <v>3473.6822508420641</v>
      </c>
      <c r="Q58" s="367">
        <f t="shared" si="4"/>
        <v>0</v>
      </c>
      <c r="R58" s="367">
        <f t="shared" si="4"/>
        <v>0</v>
      </c>
      <c r="S58" s="168"/>
      <c r="T58" s="367">
        <f>SUM(T39:T57)</f>
        <v>-672788.53799999994</v>
      </c>
      <c r="U58" s="367">
        <f>SUM(U39:U57)</f>
        <v>29417337</v>
      </c>
      <c r="V58" s="166"/>
      <c r="W58" s="367">
        <f>SUM(W39:W57)</f>
        <v>34354370.395610303</v>
      </c>
      <c r="X58" s="162"/>
      <c r="Y58" s="1826">
        <f>SUM(Y39:Y57)</f>
        <v>172113020</v>
      </c>
    </row>
    <row r="59" spans="1:27" ht="16.5" thickBot="1">
      <c r="A59" s="368" t="s">
        <v>106</v>
      </c>
      <c r="B59" s="369">
        <f>B6+B7+B8+B9+B10+B11+B12+B35+B58</f>
        <v>17319704</v>
      </c>
      <c r="C59" s="369">
        <f>C6+C7+C8+C9+C10+C11+C12+C35+C58</f>
        <v>0</v>
      </c>
      <c r="D59" s="369"/>
      <c r="E59" s="369">
        <f>E6+E7+E8+E9+E10+E11+E12+E35+E58</f>
        <v>22100000</v>
      </c>
      <c r="F59" s="381"/>
      <c r="G59" s="369">
        <f>G6+G7+G8+G9+G10+G11+G12+G35+G58</f>
        <v>1551099.872</v>
      </c>
      <c r="H59" s="369">
        <f>H6+H7+H8+H9+H10+H11+H12+H35+H58</f>
        <v>678606.19400000002</v>
      </c>
      <c r="I59" s="369">
        <f>I6+I7+I8+I9+I10+I11+I12+I35+I58</f>
        <v>0</v>
      </c>
      <c r="J59" s="369">
        <f>J6+J7+J8+J9+J10+J11+J12+J35+J58</f>
        <v>1357212.388</v>
      </c>
      <c r="K59" s="194">
        <f>K6+K7+K8+K11+K12+K35+K58</f>
        <v>0</v>
      </c>
      <c r="L59" s="369">
        <f t="shared" ref="L59:R59" si="5">L6+L7+L8+L9+L10+L11+L12+L35+L58</f>
        <v>70837135.831916109</v>
      </c>
      <c r="M59" s="369">
        <f t="shared" si="5"/>
        <v>41387989.474827394</v>
      </c>
      <c r="N59" s="369">
        <f>N6+N7+N8+N9+N10+N11+N12+N35+N58</f>
        <v>61382452.767835803</v>
      </c>
      <c r="O59" s="369">
        <f t="shared" si="5"/>
        <v>7959228.7451591119</v>
      </c>
      <c r="P59" s="369">
        <f t="shared" si="5"/>
        <v>7163305.8706432031</v>
      </c>
      <c r="Q59" s="369">
        <f t="shared" si="5"/>
        <v>31836914.980636451</v>
      </c>
      <c r="R59" s="369">
        <f t="shared" si="5"/>
        <v>0</v>
      </c>
      <c r="S59" s="194"/>
      <c r="T59" s="369">
        <f>T6+T7+T8+T9+T10+T11+T12+T35+T58</f>
        <v>-3586918.4539999999</v>
      </c>
      <c r="U59" s="369">
        <f>U6+U7+U8+U9+U10+U11+U12+U35+U58</f>
        <v>156760749.16776377</v>
      </c>
      <c r="V59" s="50"/>
      <c r="W59" s="369">
        <f>W6+W7+W8+W9+W10+W11+W12+W35+W58</f>
        <v>416747480.83878183</v>
      </c>
      <c r="X59" s="637"/>
      <c r="Y59" s="781">
        <f>SUM(Y6:Y12)+Y35+Y58</f>
        <v>574133379.23672247</v>
      </c>
    </row>
    <row r="60" spans="1:27" ht="17.25" thickTop="1" thickBot="1">
      <c r="A60" s="172"/>
      <c r="B60" s="172"/>
      <c r="C60" s="172"/>
      <c r="D60" s="172"/>
      <c r="E60" s="172"/>
      <c r="F60" s="161"/>
      <c r="G60" s="161"/>
      <c r="H60" s="161"/>
      <c r="I60" s="161"/>
      <c r="J60" s="172"/>
      <c r="K60" s="172"/>
      <c r="L60" s="172"/>
      <c r="M60" s="172"/>
      <c r="N60" s="172"/>
      <c r="O60" s="172"/>
      <c r="P60" s="172"/>
      <c r="Q60" s="166"/>
      <c r="R60" s="166"/>
      <c r="S60" s="166"/>
      <c r="T60" s="50"/>
      <c r="U60" s="50"/>
      <c r="V60" s="50"/>
      <c r="W60" s="165">
        <f>SUM(B59:U59)</f>
        <v>416747480.83878183</v>
      </c>
      <c r="X60" s="162"/>
      <c r="Y60" s="42"/>
    </row>
    <row r="61" spans="1:27">
      <c r="A61" s="161"/>
      <c r="B61" s="161"/>
      <c r="C61" s="161"/>
      <c r="D61" s="161"/>
      <c r="E61" s="161"/>
      <c r="F61" s="161"/>
      <c r="G61" s="161"/>
      <c r="H61" s="161"/>
      <c r="I61" s="161"/>
      <c r="J61" s="161"/>
      <c r="K61" s="161"/>
      <c r="L61" s="163"/>
      <c r="M61" s="161"/>
      <c r="N61" s="161"/>
      <c r="O61" s="161"/>
      <c r="P61" s="299" t="s">
        <v>295</v>
      </c>
      <c r="Q61" s="1948">
        <f>L59+M59+N59+O59+P59+Q59+R59</f>
        <v>220567027.67101806</v>
      </c>
      <c r="R61" s="1949"/>
      <c r="S61" s="163"/>
      <c r="T61" s="163"/>
      <c r="U61" s="163"/>
      <c r="V61" s="163"/>
      <c r="W61" s="163"/>
      <c r="X61" s="162"/>
      <c r="Y61" s="42"/>
    </row>
    <row r="62" spans="1:27">
      <c r="A62" s="161"/>
      <c r="B62" s="161"/>
      <c r="C62" s="161"/>
      <c r="D62" s="161"/>
      <c r="E62" s="163"/>
      <c r="F62" s="161"/>
      <c r="G62" s="161"/>
      <c r="H62" s="161"/>
      <c r="I62" s="161"/>
      <c r="J62" s="163">
        <f>SUM(G59:J59)</f>
        <v>3586918.4539999999</v>
      </c>
      <c r="K62" s="161"/>
      <c r="L62" s="163">
        <f>+L59+M59+O59+P59+Q59</f>
        <v>159184574.90318227</v>
      </c>
      <c r="M62" s="163"/>
      <c r="N62" s="161"/>
      <c r="O62" s="161"/>
      <c r="P62" s="300" t="s">
        <v>296</v>
      </c>
      <c r="Q62" s="301"/>
      <c r="R62" s="302">
        <f>Q61-'Dashboard-Academic Allocation'!E1</f>
        <v>0</v>
      </c>
      <c r="S62" s="161"/>
      <c r="T62" s="161"/>
      <c r="U62" s="12"/>
      <c r="Z62" s="162"/>
      <c r="AA62" s="161"/>
    </row>
    <row r="63" spans="1:27" ht="16.5" thickBot="1">
      <c r="A63" s="161"/>
      <c r="B63" s="161"/>
      <c r="C63" s="161"/>
      <c r="D63" s="161"/>
      <c r="E63" s="163"/>
      <c r="F63" s="161"/>
      <c r="G63" s="161"/>
      <c r="H63" s="161"/>
      <c r="I63" s="161"/>
      <c r="J63" s="161"/>
      <c r="K63" s="161"/>
      <c r="L63" s="163"/>
      <c r="M63" s="161"/>
      <c r="N63" s="161"/>
      <c r="O63" s="161"/>
      <c r="P63" s="303"/>
      <c r="Q63" s="304"/>
      <c r="R63" s="305" t="str">
        <f>IF(R62=0,"OK","ERROR")</f>
        <v>OK</v>
      </c>
      <c r="S63" s="161"/>
      <c r="T63" s="161"/>
      <c r="U63" s="12"/>
      <c r="Z63" s="161"/>
      <c r="AA63" s="161"/>
    </row>
    <row r="64" spans="1:27">
      <c r="A64" s="161"/>
      <c r="B64" s="161"/>
      <c r="C64" s="161"/>
      <c r="D64" s="161"/>
      <c r="E64" s="163"/>
      <c r="F64" s="161"/>
      <c r="G64" s="161"/>
      <c r="H64" s="161"/>
      <c r="I64" s="161"/>
      <c r="J64" s="161"/>
      <c r="K64" s="161"/>
      <c r="L64" s="163"/>
      <c r="M64" s="163"/>
      <c r="N64" s="163"/>
      <c r="O64" s="163"/>
      <c r="P64" s="163"/>
      <c r="Q64" s="163"/>
      <c r="R64" s="161"/>
      <c r="S64" s="161"/>
      <c r="T64" s="161"/>
      <c r="Z64" s="187"/>
      <c r="AA64" s="187"/>
    </row>
    <row r="65" spans="1:27">
      <c r="A65" s="187"/>
      <c r="B65" s="187"/>
      <c r="C65" s="187"/>
      <c r="D65" s="187"/>
      <c r="E65" s="776"/>
      <c r="F65" s="187"/>
      <c r="G65" s="187"/>
      <c r="H65" s="187"/>
      <c r="I65" s="187"/>
      <c r="J65" s="161"/>
      <c r="K65" s="161"/>
      <c r="L65" s="161"/>
      <c r="M65" s="161"/>
      <c r="N65" s="161"/>
      <c r="O65" s="161"/>
      <c r="P65" s="161"/>
      <c r="Q65" s="179"/>
      <c r="R65" s="163"/>
      <c r="S65" s="161"/>
      <c r="T65" s="161"/>
      <c r="Z65" s="187"/>
      <c r="AA65" s="187"/>
    </row>
    <row r="66" spans="1:27">
      <c r="A66" s="187"/>
      <c r="B66" s="187"/>
      <c r="C66" s="187"/>
      <c r="D66" s="187"/>
      <c r="E66" s="776"/>
      <c r="F66" s="187"/>
      <c r="G66" s="187"/>
      <c r="H66" s="187"/>
      <c r="I66" s="187"/>
      <c r="J66" s="161"/>
      <c r="K66" s="161"/>
      <c r="L66" s="163"/>
      <c r="M66" s="163"/>
      <c r="N66" s="163"/>
      <c r="O66" s="163"/>
      <c r="P66" s="163"/>
      <c r="Q66" s="163"/>
      <c r="R66" s="163"/>
      <c r="S66" s="161"/>
      <c r="T66" s="161"/>
      <c r="AA66" s="187"/>
    </row>
    <row r="67" spans="1:27">
      <c r="J67" s="161"/>
      <c r="K67" s="161"/>
      <c r="L67" s="161"/>
      <c r="M67" s="161"/>
      <c r="N67" s="161"/>
      <c r="O67" s="161"/>
      <c r="P67" s="161"/>
      <c r="Q67" s="163"/>
      <c r="R67" s="161"/>
      <c r="S67" s="161"/>
      <c r="T67" s="161"/>
    </row>
    <row r="68" spans="1:27">
      <c r="J68" s="187"/>
      <c r="K68" s="187"/>
      <c r="L68" s="187"/>
      <c r="M68" s="187"/>
      <c r="N68" s="187"/>
      <c r="O68" s="187"/>
      <c r="P68" s="187"/>
      <c r="Q68" s="187"/>
      <c r="R68" s="776"/>
      <c r="S68" s="187"/>
      <c r="T68" s="187"/>
      <c r="U68" s="187"/>
      <c r="V68" s="187"/>
      <c r="W68" s="187"/>
      <c r="X68" s="187"/>
      <c r="Y68" s="187"/>
      <c r="Z68" s="187"/>
    </row>
    <row r="69" spans="1:27">
      <c r="J69" s="187"/>
      <c r="K69" s="187"/>
      <c r="L69" s="776"/>
      <c r="M69" s="187"/>
      <c r="N69" s="187"/>
      <c r="O69" s="187"/>
      <c r="P69" s="187"/>
      <c r="Q69" s="187"/>
      <c r="R69" s="187"/>
      <c r="S69" s="187"/>
      <c r="T69" s="187"/>
      <c r="U69" s="187"/>
      <c r="V69" s="187"/>
      <c r="W69" s="187"/>
      <c r="X69" s="187"/>
      <c r="Y69" s="187"/>
      <c r="Z69" s="187"/>
    </row>
    <row r="72" spans="1:27">
      <c r="L72" s="12"/>
    </row>
    <row r="74" spans="1:27">
      <c r="N74" s="12"/>
    </row>
  </sheetData>
  <mergeCells count="5">
    <mergeCell ref="B4:E4"/>
    <mergeCell ref="L4:R4"/>
    <mergeCell ref="T4:U4"/>
    <mergeCell ref="Q61:R61"/>
    <mergeCell ref="G4:J4"/>
  </mergeCells>
  <phoneticPr fontId="52" type="noConversion"/>
  <pageMargins left="0.7" right="0.7" top="0.75" bottom="0.75" header="0.3" footer="0.3"/>
  <pageSetup scale="3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90"/>
  <sheetViews>
    <sheetView topLeftCell="I1" workbookViewId="0">
      <selection activeCell="P12" sqref="P12:P13"/>
    </sheetView>
  </sheetViews>
  <sheetFormatPr defaultColWidth="11" defaultRowHeight="15.75"/>
  <cols>
    <col min="1" max="1" width="42.375" customWidth="1"/>
    <col min="2" max="2" width="12.375" customWidth="1"/>
    <col min="5" max="5" width="13.75" bestFit="1" customWidth="1"/>
    <col min="8" max="8" width="11.5" bestFit="1" customWidth="1"/>
    <col min="9" max="9" width="11" style="1029"/>
    <col min="10" max="10" width="15" customWidth="1"/>
    <col min="11" max="11" width="12.125" customWidth="1"/>
    <col min="12" max="12" width="46" customWidth="1"/>
    <col min="13" max="13" width="12" customWidth="1"/>
    <col min="14" max="14" width="12.125" customWidth="1"/>
    <col min="15" max="15" width="14.375" customWidth="1"/>
    <col min="16" max="16" width="14.5" customWidth="1"/>
    <col min="18" max="18" width="10.25" customWidth="1"/>
    <col min="19" max="19" width="42.375" customWidth="1"/>
    <col min="20" max="20" width="14.125" customWidth="1"/>
    <col min="21" max="21" width="11.5" bestFit="1" customWidth="1"/>
    <col min="25" max="25" width="42" customWidth="1"/>
  </cols>
  <sheetData>
    <row r="1" spans="1:27" ht="18.75">
      <c r="A1" s="899" t="s">
        <v>1615</v>
      </c>
      <c r="B1" s="219"/>
      <c r="C1" s="219"/>
      <c r="D1" s="219"/>
      <c r="E1" s="219"/>
      <c r="F1" s="219"/>
      <c r="G1" s="219"/>
      <c r="H1" s="219"/>
      <c r="I1" s="1028"/>
    </row>
    <row r="2" spans="1:27">
      <c r="A2" t="s">
        <v>170</v>
      </c>
    </row>
    <row r="4" spans="1:27" ht="18.75">
      <c r="A4" s="10" t="s">
        <v>1347</v>
      </c>
      <c r="D4" s="12"/>
      <c r="J4" s="10" t="s">
        <v>1766</v>
      </c>
      <c r="T4" s="1317" t="s">
        <v>1588</v>
      </c>
      <c r="U4" s="1317"/>
      <c r="V4" s="1317" t="s">
        <v>1775</v>
      </c>
      <c r="W4" s="1317" t="s">
        <v>1606</v>
      </c>
      <c r="Y4" s="899" t="s">
        <v>1615</v>
      </c>
      <c r="Z4" s="219"/>
      <c r="AA4" s="219"/>
    </row>
    <row r="5" spans="1:27" ht="54" thickBot="1">
      <c r="A5" s="152" t="s">
        <v>147</v>
      </c>
      <c r="B5" s="152"/>
      <c r="C5" s="152"/>
      <c r="D5" s="152"/>
      <c r="E5" s="152"/>
      <c r="F5" s="152"/>
      <c r="G5" s="152"/>
      <c r="H5" s="153"/>
      <c r="J5" s="19"/>
      <c r="K5" s="1794" t="s">
        <v>19</v>
      </c>
      <c r="L5" s="20" t="s">
        <v>20</v>
      </c>
      <c r="M5" s="21" t="s">
        <v>21</v>
      </c>
      <c r="N5" s="22" t="s">
        <v>1767</v>
      </c>
      <c r="O5" s="978" t="s">
        <v>1768</v>
      </c>
      <c r="P5" s="1301" t="s">
        <v>1769</v>
      </c>
      <c r="Q5" s="18"/>
      <c r="R5" s="10" t="s">
        <v>1776</v>
      </c>
      <c r="Y5" t="s">
        <v>170</v>
      </c>
    </row>
    <row r="6" spans="1:27" ht="18" thickTop="1">
      <c r="A6" s="148"/>
      <c r="B6" s="148"/>
      <c r="C6" s="148"/>
      <c r="D6" s="148"/>
      <c r="E6" s="148"/>
      <c r="F6" s="148"/>
      <c r="G6" s="148"/>
      <c r="H6" s="148"/>
      <c r="J6" s="23"/>
      <c r="K6" s="24" t="s">
        <v>22</v>
      </c>
      <c r="L6" s="25" t="s">
        <v>23</v>
      </c>
      <c r="M6" s="25" t="s">
        <v>24</v>
      </c>
      <c r="N6" s="316">
        <v>-12239804</v>
      </c>
      <c r="O6" s="317"/>
      <c r="P6" s="1302">
        <f>N6+O6</f>
        <v>-12239804</v>
      </c>
      <c r="Q6" s="1248" t="s">
        <v>1260</v>
      </c>
      <c r="R6" s="1796" t="s">
        <v>257</v>
      </c>
      <c r="S6" s="1796"/>
      <c r="T6" s="1797">
        <f>SUM(T7:T16)</f>
        <v>25061646.77</v>
      </c>
      <c r="U6" s="1178"/>
      <c r="V6" s="1797">
        <f>SUM(V7:V16)</f>
        <v>24477096</v>
      </c>
      <c r="W6" s="1797"/>
    </row>
    <row r="7" spans="1:27" ht="17.25">
      <c r="A7" s="150" t="s">
        <v>148</v>
      </c>
      <c r="B7" s="151">
        <v>0</v>
      </c>
      <c r="C7" s="151"/>
      <c r="D7" s="150"/>
      <c r="E7" s="150"/>
      <c r="F7" s="150"/>
      <c r="G7" s="150"/>
      <c r="H7" s="150"/>
      <c r="J7" s="23"/>
      <c r="K7" s="24"/>
      <c r="L7" s="25"/>
      <c r="M7" s="25"/>
      <c r="N7" s="316"/>
      <c r="O7" s="317"/>
      <c r="P7" s="1302"/>
      <c r="Q7" s="28"/>
      <c r="S7" s="154" t="s">
        <v>138</v>
      </c>
      <c r="T7" s="1244">
        <f>+P51+P52+P53+P54</f>
        <v>12215508</v>
      </c>
      <c r="U7" s="1244"/>
      <c r="V7" s="1244">
        <v>11215508</v>
      </c>
      <c r="W7" s="1244">
        <f>+T7-V7</f>
        <v>1000000</v>
      </c>
      <c r="Y7" s="10" t="s">
        <v>1777</v>
      </c>
    </row>
    <row r="8" spans="1:27" ht="18" thickBot="1">
      <c r="A8" s="351" t="s">
        <v>1218</v>
      </c>
      <c r="B8" s="228">
        <f>0.01*('Step 0 FY20 Revenue'!Q27+'Step 0 FY20 Revenue'!Q28+'Step 0 FY20 Revenue'!Q37+'Step 0 FY20 Revenue'!Q35)</f>
        <v>3288473.2881894102</v>
      </c>
      <c r="C8" s="143"/>
      <c r="D8" s="148"/>
      <c r="E8" s="148"/>
      <c r="F8" s="148"/>
      <c r="G8" s="148"/>
      <c r="H8" s="148"/>
      <c r="J8" s="1247" t="s">
        <v>1261</v>
      </c>
      <c r="K8" s="24"/>
      <c r="L8" s="25"/>
      <c r="M8" s="25"/>
      <c r="N8" s="316"/>
      <c r="O8" s="317"/>
      <c r="P8" s="1302"/>
      <c r="Q8" s="28"/>
      <c r="S8" s="154" t="s">
        <v>141</v>
      </c>
      <c r="T8" s="1798">
        <f>+P39+P76+P77</f>
        <v>-13690270.23</v>
      </c>
      <c r="U8" s="1798"/>
      <c r="V8" s="1244">
        <v>-10519992</v>
      </c>
      <c r="W8" s="1244">
        <f t="shared" ref="W8:W16" si="0">+T8-V8</f>
        <v>-3170278.2300000004</v>
      </c>
      <c r="Y8" s="1802" t="s">
        <v>147</v>
      </c>
      <c r="Z8" s="1802"/>
      <c r="AA8" s="1802"/>
    </row>
    <row r="9" spans="1:27" ht="18" thickTop="1">
      <c r="A9" s="32"/>
      <c r="B9" s="347"/>
      <c r="C9" s="143"/>
      <c r="D9" s="148"/>
      <c r="E9" s="148"/>
      <c r="F9" s="148"/>
      <c r="G9" s="148"/>
      <c r="H9" s="148"/>
      <c r="J9" s="23"/>
      <c r="K9" s="26" t="s">
        <v>22</v>
      </c>
      <c r="L9" s="318" t="s">
        <v>929</v>
      </c>
      <c r="M9" s="318" t="s">
        <v>36</v>
      </c>
      <c r="N9" s="316">
        <v>10000000</v>
      </c>
      <c r="O9" s="317">
        <v>3000000</v>
      </c>
      <c r="P9" s="1303">
        <f>N9+O9</f>
        <v>13000000</v>
      </c>
      <c r="Q9" s="1248" t="s">
        <v>1260</v>
      </c>
      <c r="S9" s="154" t="s">
        <v>139</v>
      </c>
      <c r="T9" s="1244">
        <f>+P36+P37</f>
        <v>9980543</v>
      </c>
      <c r="U9" s="1244"/>
      <c r="V9" s="1244">
        <v>9030543</v>
      </c>
      <c r="W9" s="1244">
        <f t="shared" si="0"/>
        <v>950000</v>
      </c>
      <c r="Y9" s="148"/>
      <c r="Z9" s="148"/>
      <c r="AA9" s="148"/>
    </row>
    <row r="10" spans="1:27" ht="17.25">
      <c r="A10" s="150" t="s">
        <v>459</v>
      </c>
      <c r="B10" s="151">
        <v>0</v>
      </c>
      <c r="C10" s="151"/>
      <c r="D10" s="150"/>
      <c r="E10" s="150"/>
      <c r="F10" s="150"/>
      <c r="G10" s="150"/>
      <c r="H10" s="150"/>
      <c r="J10" s="23"/>
      <c r="K10" s="24"/>
      <c r="L10" s="25"/>
      <c r="M10" s="25"/>
      <c r="N10" s="316"/>
      <c r="O10" s="317"/>
      <c r="P10" s="1302"/>
      <c r="Q10" s="28"/>
      <c r="S10" s="154" t="s">
        <v>140</v>
      </c>
      <c r="T10" s="1244">
        <f>+P40+P41+P42</f>
        <v>7300000</v>
      </c>
      <c r="U10" s="1244"/>
      <c r="V10" s="1244">
        <v>7700000</v>
      </c>
      <c r="W10" s="1244">
        <f t="shared" si="0"/>
        <v>-400000</v>
      </c>
      <c r="Y10" s="150" t="s">
        <v>148</v>
      </c>
      <c r="Z10" s="151">
        <v>0</v>
      </c>
      <c r="AA10" s="151"/>
    </row>
    <row r="11" spans="1:27" ht="17.25">
      <c r="A11" s="350" t="s">
        <v>149</v>
      </c>
      <c r="B11" s="355">
        <f>T34-B8</f>
        <v>1904526.7118105898</v>
      </c>
      <c r="C11" s="143"/>
      <c r="D11" s="148"/>
      <c r="E11" s="148"/>
      <c r="F11" s="148"/>
      <c r="G11" s="148"/>
      <c r="H11" s="148"/>
      <c r="J11" s="1247" t="s">
        <v>1262</v>
      </c>
      <c r="K11" s="28"/>
      <c r="L11" s="25"/>
      <c r="M11" s="25"/>
      <c r="N11" s="316"/>
      <c r="O11" s="317"/>
      <c r="P11" s="1302"/>
      <c r="Q11" s="28"/>
      <c r="S11" s="154" t="s">
        <v>142</v>
      </c>
      <c r="T11" s="1244">
        <f>+P29</f>
        <v>3000000</v>
      </c>
      <c r="U11" s="1244"/>
      <c r="V11" s="1244">
        <v>3000000</v>
      </c>
      <c r="W11" s="1244">
        <f t="shared" si="0"/>
        <v>0</v>
      </c>
      <c r="Y11" s="351" t="s">
        <v>1218</v>
      </c>
      <c r="Z11" s="228">
        <v>3161000</v>
      </c>
      <c r="AA11" s="143"/>
    </row>
    <row r="12" spans="1:27" ht="17.25">
      <c r="J12" s="28"/>
      <c r="K12" s="24" t="s">
        <v>22</v>
      </c>
      <c r="L12" s="25" t="s">
        <v>406</v>
      </c>
      <c r="M12" s="318" t="s">
        <v>407</v>
      </c>
      <c r="N12" s="319">
        <v>7557244</v>
      </c>
      <c r="O12" s="979">
        <v>1243599</v>
      </c>
      <c r="P12" s="1303">
        <f>N12+O12</f>
        <v>8800843</v>
      </c>
      <c r="Q12" s="1248" t="s">
        <v>1260</v>
      </c>
      <c r="S12" s="154" t="s">
        <v>143</v>
      </c>
      <c r="T12" s="1244">
        <f>+P26</f>
        <v>1500000</v>
      </c>
      <c r="U12" s="1244"/>
      <c r="V12" s="1244">
        <v>1500000</v>
      </c>
      <c r="W12" s="1244">
        <f t="shared" si="0"/>
        <v>0</v>
      </c>
      <c r="Y12" s="32"/>
      <c r="Z12" s="347"/>
      <c r="AA12" s="143"/>
    </row>
    <row r="13" spans="1:27" ht="17.25">
      <c r="A13" s="155" t="s">
        <v>257</v>
      </c>
      <c r="B13" s="151"/>
      <c r="C13" s="151"/>
      <c r="D13" s="150"/>
      <c r="E13" s="150"/>
      <c r="F13" s="150"/>
      <c r="G13" s="150"/>
      <c r="H13" s="150"/>
      <c r="J13" s="28"/>
      <c r="K13" s="24" t="s">
        <v>22</v>
      </c>
      <c r="L13" s="25" t="s">
        <v>408</v>
      </c>
      <c r="M13" s="318" t="s">
        <v>409</v>
      </c>
      <c r="N13" s="319">
        <v>1100000</v>
      </c>
      <c r="O13" s="317">
        <v>-16084</v>
      </c>
      <c r="P13" s="1303">
        <f>N13+O13</f>
        <v>1083916</v>
      </c>
      <c r="Q13" s="1248" t="s">
        <v>1260</v>
      </c>
      <c r="S13" s="154" t="s">
        <v>150</v>
      </c>
      <c r="T13" s="1244">
        <f>+P28</f>
        <v>448000</v>
      </c>
      <c r="U13" s="1244"/>
      <c r="V13" s="1244">
        <v>430000</v>
      </c>
      <c r="W13" s="1244">
        <f t="shared" si="0"/>
        <v>18000</v>
      </c>
      <c r="Y13" s="150" t="s">
        <v>459</v>
      </c>
      <c r="Z13" s="151">
        <v>0</v>
      </c>
      <c r="AA13" s="151"/>
    </row>
    <row r="14" spans="1:27" ht="17.25">
      <c r="A14" s="352" t="s">
        <v>460</v>
      </c>
      <c r="B14" s="348">
        <f>T6</f>
        <v>25061646.77</v>
      </c>
      <c r="C14" s="143"/>
      <c r="D14" s="148"/>
      <c r="E14" s="148"/>
      <c r="F14" s="148"/>
      <c r="G14" s="148"/>
      <c r="H14" s="148"/>
      <c r="J14" s="28"/>
      <c r="K14" s="24" t="s">
        <v>22</v>
      </c>
      <c r="L14" s="25" t="s">
        <v>1263</v>
      </c>
      <c r="M14" s="25" t="s">
        <v>48</v>
      </c>
      <c r="N14" s="316">
        <v>1525000</v>
      </c>
      <c r="O14" s="317">
        <v>121100</v>
      </c>
      <c r="P14" s="1303">
        <f>N14+O14</f>
        <v>1646100</v>
      </c>
      <c r="Q14" s="1248" t="s">
        <v>1260</v>
      </c>
      <c r="S14" s="156" t="s">
        <v>144</v>
      </c>
      <c r="T14" s="1244">
        <f>+P31+P32+P33+P44+P45+P46+P43</f>
        <v>1354988</v>
      </c>
      <c r="U14" s="1244"/>
      <c r="V14" s="1244">
        <v>1379159</v>
      </c>
      <c r="W14" s="1244">
        <f t="shared" si="0"/>
        <v>-24171</v>
      </c>
      <c r="Y14" s="350" t="s">
        <v>149</v>
      </c>
      <c r="Z14" s="355">
        <f>T34-Z11</f>
        <v>2032000</v>
      </c>
      <c r="AA14" s="143"/>
    </row>
    <row r="15" spans="1:27" ht="17.25">
      <c r="J15" s="28"/>
      <c r="K15" s="26" t="s">
        <v>55</v>
      </c>
      <c r="L15" s="25" t="s">
        <v>1264</v>
      </c>
      <c r="M15" s="29" t="s">
        <v>52</v>
      </c>
      <c r="N15" s="319">
        <v>700000</v>
      </c>
      <c r="O15" s="979">
        <v>-21802</v>
      </c>
      <c r="P15" s="1303">
        <f t="shared" ref="P15:P24" si="1">N15+O15</f>
        <v>678198</v>
      </c>
      <c r="Q15" s="1248" t="s">
        <v>1260</v>
      </c>
      <c r="S15" s="156" t="s">
        <v>410</v>
      </c>
      <c r="T15" s="1244">
        <f>+P30</f>
        <v>2841878</v>
      </c>
      <c r="U15" s="1244"/>
      <c r="V15" s="1244">
        <v>741878</v>
      </c>
      <c r="W15" s="1244">
        <f t="shared" si="0"/>
        <v>2100000</v>
      </c>
    </row>
    <row r="16" spans="1:27" ht="17.25">
      <c r="A16" s="155" t="s">
        <v>461</v>
      </c>
      <c r="B16" s="151"/>
      <c r="C16" s="151"/>
      <c r="D16" s="150"/>
      <c r="E16" s="150"/>
      <c r="F16" s="150"/>
      <c r="G16" s="150"/>
      <c r="H16" s="150"/>
      <c r="J16" s="28"/>
      <c r="K16" s="26" t="s">
        <v>22</v>
      </c>
      <c r="L16" s="25" t="s">
        <v>1265</v>
      </c>
      <c r="M16" s="25" t="s">
        <v>42</v>
      </c>
      <c r="N16" s="316">
        <v>6546678</v>
      </c>
      <c r="O16" s="317">
        <f>N16*0.07</f>
        <v>458267.46</v>
      </c>
      <c r="P16" s="1303">
        <f t="shared" si="1"/>
        <v>7004945.46</v>
      </c>
      <c r="Q16" s="1248" t="s">
        <v>1260</v>
      </c>
      <c r="S16" s="156" t="s">
        <v>1965</v>
      </c>
      <c r="T16" s="1244">
        <v>111000</v>
      </c>
      <c r="U16" s="1244"/>
      <c r="V16" s="1244">
        <v>0</v>
      </c>
      <c r="W16" s="1244">
        <f t="shared" si="0"/>
        <v>111000</v>
      </c>
      <c r="Y16" s="155" t="s">
        <v>257</v>
      </c>
      <c r="Z16" s="151"/>
      <c r="AA16" s="151"/>
    </row>
    <row r="17" spans="1:27" ht="17.25">
      <c r="A17" s="353" t="s">
        <v>462</v>
      </c>
      <c r="B17" s="349">
        <f>SUM(T35:T47)</f>
        <v>4222680</v>
      </c>
      <c r="C17" s="143"/>
      <c r="D17" s="148"/>
      <c r="E17" s="148"/>
      <c r="F17" s="157"/>
      <c r="G17" s="148"/>
      <c r="H17" s="148"/>
      <c r="J17" s="28"/>
      <c r="K17" s="26" t="s">
        <v>22</v>
      </c>
      <c r="L17" s="318" t="s">
        <v>1266</v>
      </c>
      <c r="M17" s="318" t="s">
        <v>50</v>
      </c>
      <c r="N17" s="316">
        <v>500000</v>
      </c>
      <c r="O17" s="317">
        <v>-100000</v>
      </c>
      <c r="P17" s="1303">
        <f t="shared" si="1"/>
        <v>400000</v>
      </c>
      <c r="Q17" s="1248" t="s">
        <v>1260</v>
      </c>
      <c r="R17" s="1796" t="s">
        <v>179</v>
      </c>
      <c r="S17" s="1796"/>
      <c r="T17" s="1799">
        <f>SUM(T18:T23)</f>
        <v>19737098.460000001</v>
      </c>
      <c r="U17" s="1242"/>
      <c r="V17" s="1799">
        <f>SUM(V18:V22)</f>
        <v>18178922</v>
      </c>
      <c r="W17" s="1799"/>
      <c r="Y17" s="352" t="s">
        <v>460</v>
      </c>
      <c r="Z17" s="1803">
        <f>T6</f>
        <v>25061646.77</v>
      </c>
      <c r="AA17" s="143"/>
    </row>
    <row r="18" spans="1:27" ht="17.25">
      <c r="A18" s="142" t="s">
        <v>936</v>
      </c>
      <c r="B18" s="143">
        <f>T33</f>
        <v>13000000</v>
      </c>
      <c r="C18" s="143"/>
      <c r="D18" s="148"/>
      <c r="E18" s="148"/>
      <c r="F18" s="148"/>
      <c r="G18" s="148"/>
      <c r="H18" s="148"/>
      <c r="J18" s="28"/>
      <c r="K18" s="26" t="s">
        <v>22</v>
      </c>
      <c r="L18" s="318" t="s">
        <v>815</v>
      </c>
      <c r="M18" s="318" t="s">
        <v>50</v>
      </c>
      <c r="N18" s="316">
        <v>50000</v>
      </c>
      <c r="O18" s="317">
        <v>-20000</v>
      </c>
      <c r="P18" s="1303">
        <f t="shared" si="1"/>
        <v>30000</v>
      </c>
      <c r="Q18" s="1248" t="s">
        <v>1260</v>
      </c>
      <c r="S18" s="142" t="s">
        <v>455</v>
      </c>
      <c r="T18" s="1244">
        <f>+P12+P13+P15</f>
        <v>10562957</v>
      </c>
      <c r="U18" s="1244"/>
      <c r="V18" s="1244">
        <v>9357244</v>
      </c>
      <c r="W18" s="1244">
        <f>+T18-V18</f>
        <v>1205713</v>
      </c>
    </row>
    <row r="19" spans="1:27" ht="17.25">
      <c r="A19" s="155" t="s">
        <v>464</v>
      </c>
      <c r="B19" s="151"/>
      <c r="C19" s="151"/>
      <c r="D19" s="150"/>
      <c r="E19" s="150"/>
      <c r="F19" s="150"/>
      <c r="G19" s="150"/>
      <c r="H19" s="150"/>
      <c r="J19" s="28"/>
      <c r="K19" s="24" t="s">
        <v>22</v>
      </c>
      <c r="L19" s="29" t="s">
        <v>1267</v>
      </c>
      <c r="M19" s="318" t="s">
        <v>42</v>
      </c>
      <c r="N19" s="316">
        <v>2800000</v>
      </c>
      <c r="O19" s="317">
        <v>-2800000</v>
      </c>
      <c r="P19" s="1303">
        <f t="shared" si="1"/>
        <v>0</v>
      </c>
      <c r="Q19" s="1248" t="s">
        <v>1260</v>
      </c>
      <c r="S19" s="142" t="s">
        <v>411</v>
      </c>
      <c r="T19" s="1244">
        <f>+P14</f>
        <v>1646100</v>
      </c>
      <c r="U19" s="1244"/>
      <c r="V19" s="1244">
        <v>1525000</v>
      </c>
      <c r="W19" s="1244">
        <f>+T19-V19</f>
        <v>121100</v>
      </c>
      <c r="Y19" s="155" t="s">
        <v>461</v>
      </c>
      <c r="Z19" s="151"/>
      <c r="AA19" s="151"/>
    </row>
    <row r="20" spans="1:27" ht="17.25">
      <c r="A20" s="350" t="s">
        <v>465</v>
      </c>
      <c r="B20" s="356">
        <f>T17</f>
        <v>19737098.460000001</v>
      </c>
      <c r="C20" s="143"/>
      <c r="D20" s="148"/>
      <c r="E20" s="148"/>
      <c r="F20" s="148"/>
      <c r="G20" s="148"/>
      <c r="H20" s="148"/>
      <c r="J20" s="28"/>
      <c r="K20" s="24" t="s">
        <v>22</v>
      </c>
      <c r="L20" s="29" t="s">
        <v>1268</v>
      </c>
      <c r="M20" s="318" t="s">
        <v>42</v>
      </c>
      <c r="N20" s="316">
        <v>1050000</v>
      </c>
      <c r="O20" s="317">
        <v>-1050000</v>
      </c>
      <c r="P20" s="1303">
        <f t="shared" si="1"/>
        <v>0</v>
      </c>
      <c r="Q20" s="1248" t="s">
        <v>1260</v>
      </c>
      <c r="S20" s="142" t="s">
        <v>412</v>
      </c>
      <c r="T20" s="1244">
        <v>0</v>
      </c>
      <c r="U20" s="1244"/>
      <c r="V20" s="1244">
        <v>0</v>
      </c>
      <c r="W20" s="1244">
        <f>+T20-V20</f>
        <v>0</v>
      </c>
      <c r="Y20" s="353" t="s">
        <v>462</v>
      </c>
      <c r="Z20" s="1804">
        <f>SUM(T35:T47)</f>
        <v>4222680</v>
      </c>
      <c r="AA20" s="143"/>
    </row>
    <row r="21" spans="1:27" ht="17.25">
      <c r="D21" s="148"/>
      <c r="E21" s="148"/>
      <c r="F21" s="148"/>
      <c r="G21" s="148"/>
      <c r="H21" s="148"/>
      <c r="J21" s="28"/>
      <c r="K21" s="24" t="s">
        <v>22</v>
      </c>
      <c r="L21" s="29" t="s">
        <v>1770</v>
      </c>
      <c r="M21" s="318" t="s">
        <v>42</v>
      </c>
      <c r="N21" s="316">
        <v>0</v>
      </c>
      <c r="O21" s="979">
        <v>3000000</v>
      </c>
      <c r="P21" s="1303">
        <f t="shared" si="1"/>
        <v>3000000</v>
      </c>
      <c r="Q21" s="1248" t="s">
        <v>1260</v>
      </c>
      <c r="S21" s="142" t="s">
        <v>413</v>
      </c>
      <c r="T21" s="1244">
        <f>+P16</f>
        <v>7004945.46</v>
      </c>
      <c r="U21" s="1244"/>
      <c r="V21" s="1244">
        <v>6546678</v>
      </c>
      <c r="W21" s="1244">
        <f>+T21-V21</f>
        <v>458267.45999999996</v>
      </c>
      <c r="Y21" s="142" t="s">
        <v>936</v>
      </c>
      <c r="Z21" s="143">
        <f>T33</f>
        <v>13000000</v>
      </c>
      <c r="AA21" s="143"/>
    </row>
    <row r="22" spans="1:27" ht="17.25">
      <c r="A22" s="155" t="s">
        <v>466</v>
      </c>
      <c r="B22" s="151"/>
      <c r="C22" s="151"/>
      <c r="D22" s="150"/>
      <c r="E22" s="150"/>
      <c r="F22" s="150"/>
      <c r="G22" s="150"/>
      <c r="H22" s="150"/>
      <c r="J22" s="28"/>
      <c r="K22" s="24" t="s">
        <v>22</v>
      </c>
      <c r="L22" s="29" t="s">
        <v>1771</v>
      </c>
      <c r="M22" s="318" t="s">
        <v>42</v>
      </c>
      <c r="N22" s="316">
        <v>0</v>
      </c>
      <c r="O22" s="979">
        <v>1200000</v>
      </c>
      <c r="P22" s="1303">
        <f t="shared" si="1"/>
        <v>1200000</v>
      </c>
      <c r="Q22" s="1248" t="s">
        <v>1260</v>
      </c>
      <c r="S22" s="350" t="s">
        <v>882</v>
      </c>
      <c r="T22" s="1245">
        <f>+P17+P18+P23</f>
        <v>430000</v>
      </c>
      <c r="U22" s="1245"/>
      <c r="V22" s="1245">
        <v>750000</v>
      </c>
      <c r="W22" s="1244">
        <f>+T22-V22</f>
        <v>-320000</v>
      </c>
      <c r="Y22" s="155" t="s">
        <v>464</v>
      </c>
      <c r="Z22" s="151"/>
      <c r="AA22" s="151"/>
    </row>
    <row r="23" spans="1:27" ht="17.25">
      <c r="A23" s="350" t="s">
        <v>456</v>
      </c>
      <c r="B23" s="357">
        <f>T24</f>
        <v>4500000</v>
      </c>
      <c r="C23" s="143"/>
      <c r="D23" s="148"/>
      <c r="E23" s="148"/>
      <c r="F23" s="148"/>
      <c r="G23" s="148"/>
      <c r="H23" s="148"/>
      <c r="J23" s="28"/>
      <c r="K23" s="24" t="s">
        <v>22</v>
      </c>
      <c r="L23" s="25" t="s">
        <v>415</v>
      </c>
      <c r="M23" s="25" t="s">
        <v>50</v>
      </c>
      <c r="N23" s="316">
        <v>200000</v>
      </c>
      <c r="O23" s="317">
        <v>-200000</v>
      </c>
      <c r="P23" s="1303">
        <f t="shared" si="1"/>
        <v>0</v>
      </c>
      <c r="Q23" s="1248" t="s">
        <v>1260</v>
      </c>
      <c r="S23" s="142" t="s">
        <v>1318</v>
      </c>
      <c r="T23" s="1245">
        <f>+P24</f>
        <v>93096</v>
      </c>
      <c r="U23" s="1245"/>
      <c r="V23" s="1245"/>
      <c r="W23" s="1245"/>
      <c r="Y23" s="350" t="s">
        <v>465</v>
      </c>
      <c r="Z23" s="356">
        <f>T17</f>
        <v>19737098.460000001</v>
      </c>
      <c r="AA23" s="143"/>
    </row>
    <row r="24" spans="1:27" ht="18" thickBot="1">
      <c r="A24" s="354"/>
      <c r="B24" s="354"/>
      <c r="C24" s="354"/>
      <c r="D24" s="354"/>
      <c r="E24" s="354"/>
      <c r="F24" s="354"/>
      <c r="G24" s="354"/>
      <c r="H24" s="354"/>
      <c r="J24" s="28"/>
      <c r="K24" s="24" t="s">
        <v>22</v>
      </c>
      <c r="L24" s="25" t="s">
        <v>1318</v>
      </c>
      <c r="M24" s="25"/>
      <c r="N24" s="316">
        <v>0</v>
      </c>
      <c r="O24" s="317">
        <v>93096</v>
      </c>
      <c r="P24" s="1303">
        <f t="shared" si="1"/>
        <v>93096</v>
      </c>
      <c r="Q24" s="28"/>
      <c r="R24" s="1796" t="s">
        <v>456</v>
      </c>
      <c r="S24" s="1796"/>
      <c r="T24" s="1799">
        <f>T25+T26</f>
        <v>4500000</v>
      </c>
      <c r="U24" s="1242"/>
      <c r="V24" s="1799">
        <f>V25+V26</f>
        <v>4150000</v>
      </c>
      <c r="W24" s="1799"/>
    </row>
    <row r="25" spans="1:27" ht="18" thickTop="1">
      <c r="A25" s="158" t="s">
        <v>463</v>
      </c>
      <c r="B25" s="315">
        <f>B8+B11+B14+B17+B20+B23+B18</f>
        <v>71714425.229999989</v>
      </c>
      <c r="J25" s="1247" t="s">
        <v>1269</v>
      </c>
      <c r="K25" s="24"/>
      <c r="L25" s="25"/>
      <c r="M25" s="25"/>
      <c r="N25" s="316"/>
      <c r="O25" s="317"/>
      <c r="P25" s="1303"/>
      <c r="Q25" s="28"/>
      <c r="S25" s="345" t="s">
        <v>414</v>
      </c>
      <c r="T25" s="1246">
        <f>+P21+P22</f>
        <v>4200000</v>
      </c>
      <c r="U25" s="1246"/>
      <c r="V25" s="1246">
        <v>3850000</v>
      </c>
      <c r="W25" s="1246">
        <f>+T25-V25</f>
        <v>350000</v>
      </c>
      <c r="Y25" s="155" t="s">
        <v>466</v>
      </c>
      <c r="Z25" s="151"/>
      <c r="AA25" s="151"/>
    </row>
    <row r="26" spans="1:27" ht="17.25">
      <c r="J26" s="28"/>
      <c r="K26" s="26" t="s">
        <v>22</v>
      </c>
      <c r="L26" s="318" t="s">
        <v>40</v>
      </c>
      <c r="M26" s="318" t="s">
        <v>41</v>
      </c>
      <c r="N26" s="316">
        <v>1500000</v>
      </c>
      <c r="O26" s="317">
        <v>0</v>
      </c>
      <c r="P26" s="1303">
        <f t="shared" ref="P26:P33" si="2">N26+O26</f>
        <v>1500000</v>
      </c>
      <c r="Q26" s="1248" t="s">
        <v>1260</v>
      </c>
      <c r="S26" s="345" t="s">
        <v>416</v>
      </c>
      <c r="T26" s="1246">
        <f>+P27</f>
        <v>300000</v>
      </c>
      <c r="U26" s="1246"/>
      <c r="V26" s="1246">
        <v>300000</v>
      </c>
      <c r="W26" s="1246">
        <f>+T26-V26</f>
        <v>0</v>
      </c>
      <c r="Y26" s="350" t="s">
        <v>456</v>
      </c>
      <c r="Z26" s="357">
        <f>T24</f>
        <v>4500000</v>
      </c>
      <c r="AA26" s="143"/>
    </row>
    <row r="27" spans="1:27" ht="18" thickBot="1">
      <c r="A27" s="158" t="s">
        <v>467</v>
      </c>
      <c r="B27" s="315">
        <f>B79+C79+D79+E79+F79</f>
        <v>0</v>
      </c>
      <c r="J27" s="28"/>
      <c r="K27" s="24" t="s">
        <v>22</v>
      </c>
      <c r="L27" s="25" t="s">
        <v>43</v>
      </c>
      <c r="M27" s="318" t="s">
        <v>42</v>
      </c>
      <c r="N27" s="316">
        <v>300000</v>
      </c>
      <c r="O27" s="317">
        <v>0</v>
      </c>
      <c r="P27" s="1303">
        <f t="shared" si="2"/>
        <v>300000</v>
      </c>
      <c r="Q27" s="1248" t="s">
        <v>1260</v>
      </c>
      <c r="S27" s="346"/>
      <c r="T27" s="1241"/>
      <c r="U27" s="1241"/>
      <c r="V27" s="1241"/>
      <c r="W27" s="1241"/>
      <c r="Y27" s="354"/>
      <c r="Z27" s="354"/>
      <c r="AA27" s="354"/>
    </row>
    <row r="28" spans="1:27" ht="18" thickTop="1">
      <c r="A28" s="158" t="s">
        <v>938</v>
      </c>
      <c r="B28" s="315">
        <f>T51</f>
        <v>3379900</v>
      </c>
      <c r="J28" s="28"/>
      <c r="K28" s="24" t="s">
        <v>22</v>
      </c>
      <c r="L28" s="25" t="s">
        <v>49</v>
      </c>
      <c r="M28" s="25" t="s">
        <v>48</v>
      </c>
      <c r="N28" s="316">
        <v>430000</v>
      </c>
      <c r="O28" s="317">
        <v>18000</v>
      </c>
      <c r="P28" s="1303">
        <f t="shared" si="2"/>
        <v>448000</v>
      </c>
      <c r="Q28" s="1248" t="s">
        <v>1260</v>
      </c>
      <c r="R28" s="1796" t="s">
        <v>457</v>
      </c>
      <c r="S28" s="1796"/>
      <c r="T28" s="1799"/>
      <c r="U28" s="1242"/>
      <c r="V28" s="1799"/>
      <c r="W28" s="1799"/>
      <c r="Y28" s="158" t="s">
        <v>463</v>
      </c>
      <c r="Z28" s="315">
        <f>Z11+Z14+Z17+Z20+Z23+Z26+Z21</f>
        <v>71714425.229999989</v>
      </c>
    </row>
    <row r="29" spans="1:27" ht="17.25">
      <c r="A29" s="158" t="s">
        <v>468</v>
      </c>
      <c r="B29" s="315">
        <f>B25+B27+B28</f>
        <v>75094325.229999989</v>
      </c>
      <c r="D29" s="12"/>
      <c r="J29" s="28"/>
      <c r="K29" s="26" t="s">
        <v>22</v>
      </c>
      <c r="L29" s="318" t="s">
        <v>37</v>
      </c>
      <c r="M29" s="318" t="s">
        <v>38</v>
      </c>
      <c r="N29" s="316">
        <v>3000000</v>
      </c>
      <c r="O29" s="979">
        <v>0</v>
      </c>
      <c r="P29" s="1303">
        <f t="shared" si="2"/>
        <v>3000000</v>
      </c>
      <c r="Q29" s="1248" t="s">
        <v>1260</v>
      </c>
      <c r="T29" s="42"/>
      <c r="U29" s="42"/>
      <c r="V29" s="42"/>
      <c r="W29" s="42"/>
    </row>
    <row r="30" spans="1:27" ht="17.25">
      <c r="J30" s="28"/>
      <c r="K30" s="26" t="s">
        <v>22</v>
      </c>
      <c r="L30" s="318" t="s">
        <v>410</v>
      </c>
      <c r="M30" s="318" t="s">
        <v>26</v>
      </c>
      <c r="N30" s="316">
        <v>741878</v>
      </c>
      <c r="O30" s="979">
        <v>2100000</v>
      </c>
      <c r="P30" s="1303">
        <f t="shared" si="2"/>
        <v>2841878</v>
      </c>
      <c r="Q30" s="1248" t="s">
        <v>1260</v>
      </c>
      <c r="T30" s="42"/>
      <c r="U30" s="42"/>
      <c r="V30" s="42"/>
      <c r="W30" s="42"/>
      <c r="Y30" s="158" t="s">
        <v>467</v>
      </c>
      <c r="Z30" s="315">
        <v>0</v>
      </c>
    </row>
    <row r="31" spans="1:27" ht="17.25">
      <c r="J31" s="28"/>
      <c r="K31" s="26" t="s">
        <v>22</v>
      </c>
      <c r="L31" s="318" t="s">
        <v>39</v>
      </c>
      <c r="M31" s="318" t="s">
        <v>38</v>
      </c>
      <c r="N31" s="316">
        <v>500000</v>
      </c>
      <c r="O31" s="979">
        <v>0</v>
      </c>
      <c r="P31" s="1303">
        <f t="shared" si="2"/>
        <v>500000</v>
      </c>
      <c r="Q31" s="1248" t="s">
        <v>1260</v>
      </c>
      <c r="R31" s="1796" t="s">
        <v>458</v>
      </c>
      <c r="S31" s="1796"/>
      <c r="T31" s="1799">
        <f>SUM(T33:T47)</f>
        <v>22415680</v>
      </c>
      <c r="U31" s="1242"/>
      <c r="V31" s="1799">
        <f>SUM(V33:V46)</f>
        <v>20151580</v>
      </c>
      <c r="W31" s="1799"/>
      <c r="Y31" s="158" t="s">
        <v>938</v>
      </c>
      <c r="Z31" s="315">
        <f>T51</f>
        <v>3379900</v>
      </c>
    </row>
    <row r="32" spans="1:27" ht="17.25">
      <c r="J32" s="28"/>
      <c r="K32" s="26" t="s">
        <v>59</v>
      </c>
      <c r="L32" s="29" t="s">
        <v>1772</v>
      </c>
      <c r="M32" s="29" t="s">
        <v>52</v>
      </c>
      <c r="N32" s="319">
        <v>50000</v>
      </c>
      <c r="O32" s="979"/>
      <c r="P32" s="1303">
        <f t="shared" si="2"/>
        <v>50000</v>
      </c>
      <c r="Q32" s="1248" t="s">
        <v>1260</v>
      </c>
      <c r="T32" s="46"/>
      <c r="U32" s="46"/>
      <c r="V32" s="46"/>
      <c r="W32" s="46"/>
      <c r="Y32" s="158" t="s">
        <v>468</v>
      </c>
      <c r="Z32" s="315">
        <f>Z28+Z30+Z31</f>
        <v>75094325.229999989</v>
      </c>
    </row>
    <row r="33" spans="1:26" ht="18" thickBot="1">
      <c r="J33" s="28"/>
      <c r="K33" s="26" t="s">
        <v>59</v>
      </c>
      <c r="L33" s="29" t="s">
        <v>933</v>
      </c>
      <c r="M33" s="29" t="s">
        <v>52</v>
      </c>
      <c r="N33" s="319">
        <v>30000</v>
      </c>
      <c r="O33" s="979">
        <v>0</v>
      </c>
      <c r="P33" s="1303">
        <f t="shared" si="2"/>
        <v>30000</v>
      </c>
      <c r="Q33" s="1248" t="s">
        <v>1260</v>
      </c>
      <c r="S33" s="28" t="s">
        <v>881</v>
      </c>
      <c r="T33" s="1244">
        <f>+P9</f>
        <v>13000000</v>
      </c>
      <c r="U33" s="1244"/>
      <c r="V33" s="1244">
        <v>10000000</v>
      </c>
      <c r="W33" s="1244">
        <f>+T33-V33</f>
        <v>3000000</v>
      </c>
    </row>
    <row r="34" spans="1:26" ht="17.25">
      <c r="A34" s="886" t="s">
        <v>1292</v>
      </c>
      <c r="B34" s="391"/>
      <c r="D34" s="402"/>
      <c r="E34" s="402"/>
      <c r="J34" s="18"/>
      <c r="K34" s="24"/>
      <c r="L34" s="25"/>
      <c r="M34" s="25"/>
      <c r="N34" s="316"/>
      <c r="O34" s="317"/>
      <c r="P34" s="1303"/>
      <c r="Q34" s="28"/>
      <c r="S34" s="28" t="s">
        <v>935</v>
      </c>
      <c r="T34" s="1244">
        <f>+P73+P74</f>
        <v>5193000</v>
      </c>
      <c r="U34" s="1244"/>
      <c r="V34" s="30">
        <v>6272300</v>
      </c>
      <c r="W34" s="1244">
        <f t="shared" ref="W34:W47" si="3">+T34-V34</f>
        <v>-1079300</v>
      </c>
    </row>
    <row r="35" spans="1:26" ht="17.25">
      <c r="A35" s="265"/>
      <c r="B35" s="1623" t="s">
        <v>1566</v>
      </c>
      <c r="D35" s="402"/>
      <c r="E35" s="402"/>
      <c r="J35" s="1247" t="s">
        <v>1270</v>
      </c>
      <c r="K35" s="24"/>
      <c r="L35" s="25"/>
      <c r="M35" s="25"/>
      <c r="N35" s="316"/>
      <c r="O35" s="317"/>
      <c r="P35" s="1303"/>
      <c r="Q35" s="28"/>
      <c r="S35" s="28" t="s">
        <v>937</v>
      </c>
      <c r="T35" s="1244">
        <f>+P61+P65</f>
        <v>0</v>
      </c>
      <c r="U35" s="1244"/>
      <c r="V35" s="1244">
        <v>950000</v>
      </c>
      <c r="W35" s="1244">
        <f t="shared" si="3"/>
        <v>-950000</v>
      </c>
      <c r="Z35" s="12"/>
    </row>
    <row r="36" spans="1:26" ht="17.25">
      <c r="A36" s="1310" t="s">
        <v>1293</v>
      </c>
      <c r="B36" s="1311">
        <f>T18-P15</f>
        <v>9884759</v>
      </c>
      <c r="D36" s="402"/>
      <c r="E36" s="402"/>
      <c r="J36" s="18"/>
      <c r="K36" s="26" t="s">
        <v>22</v>
      </c>
      <c r="L36" s="318" t="s">
        <v>27</v>
      </c>
      <c r="M36" s="1836" t="s">
        <v>26</v>
      </c>
      <c r="N36" s="319">
        <v>7622000</v>
      </c>
      <c r="O36" s="1249">
        <f>1000000-200000</f>
        <v>800000</v>
      </c>
      <c r="P36" s="1305">
        <f>N36+O36</f>
        <v>8422000</v>
      </c>
      <c r="Q36" s="1248" t="s">
        <v>1260</v>
      </c>
      <c r="S36" s="25" t="s">
        <v>1829</v>
      </c>
      <c r="T36" s="1244">
        <v>1000000</v>
      </c>
      <c r="U36" s="1244"/>
      <c r="V36" s="1244"/>
      <c r="W36" s="1244">
        <f t="shared" si="3"/>
        <v>1000000</v>
      </c>
    </row>
    <row r="37" spans="1:26" ht="17.25">
      <c r="A37" s="1310" t="s">
        <v>411</v>
      </c>
      <c r="B37" s="1311">
        <v>0</v>
      </c>
      <c r="C37" s="174">
        <f>+P15+P14</f>
        <v>2324298</v>
      </c>
      <c r="D37" s="402"/>
      <c r="E37" s="402"/>
      <c r="J37" s="18"/>
      <c r="K37" s="26" t="s">
        <v>22</v>
      </c>
      <c r="L37" s="318" t="s">
        <v>928</v>
      </c>
      <c r="M37" s="1836" t="s">
        <v>26</v>
      </c>
      <c r="N37" s="319">
        <v>1408543</v>
      </c>
      <c r="O37" s="317">
        <f>200000-50000</f>
        <v>150000</v>
      </c>
      <c r="P37" s="1305">
        <f>N37+O37</f>
        <v>1558543</v>
      </c>
      <c r="Q37" s="1248" t="s">
        <v>1260</v>
      </c>
      <c r="S37" s="28" t="s">
        <v>1215</v>
      </c>
      <c r="T37" s="1244">
        <f>+P57</f>
        <v>1600000</v>
      </c>
      <c r="U37" s="1244"/>
      <c r="V37" s="1244">
        <v>1600000</v>
      </c>
      <c r="W37" s="1244">
        <f t="shared" si="3"/>
        <v>0</v>
      </c>
    </row>
    <row r="38" spans="1:26" ht="17.25">
      <c r="A38" s="1310" t="s">
        <v>412</v>
      </c>
      <c r="B38" s="1311">
        <v>0</v>
      </c>
      <c r="D38" s="402"/>
      <c r="E38" s="402"/>
      <c r="J38" s="18"/>
      <c r="K38" s="26" t="s">
        <v>22</v>
      </c>
      <c r="L38" s="318" t="s">
        <v>814</v>
      </c>
      <c r="M38" s="318" t="s">
        <v>26</v>
      </c>
      <c r="N38" s="316">
        <v>0</v>
      </c>
      <c r="O38" s="1249">
        <v>0</v>
      </c>
      <c r="P38" s="1300">
        <f>N38+O38</f>
        <v>0</v>
      </c>
      <c r="Q38" s="1248" t="s">
        <v>1260</v>
      </c>
      <c r="S38" s="28" t="s">
        <v>1447</v>
      </c>
      <c r="T38" s="1244">
        <f>+P58</f>
        <v>0</v>
      </c>
      <c r="U38" s="1244"/>
      <c r="V38" s="1244">
        <v>550000</v>
      </c>
      <c r="W38" s="1244">
        <f t="shared" si="3"/>
        <v>-550000</v>
      </c>
    </row>
    <row r="39" spans="1:26" ht="17.25">
      <c r="A39" s="1310" t="s">
        <v>1337</v>
      </c>
      <c r="B39" s="1311">
        <f>T21</f>
        <v>7004945.46</v>
      </c>
      <c r="D39" s="402"/>
      <c r="E39" s="402"/>
      <c r="I39" s="1030"/>
      <c r="J39" s="18"/>
      <c r="K39" s="26" t="s">
        <v>22</v>
      </c>
      <c r="L39" s="1393" t="s">
        <v>25</v>
      </c>
      <c r="M39" s="318" t="s">
        <v>26</v>
      </c>
      <c r="N39" s="319">
        <v>2615209</v>
      </c>
      <c r="O39" s="317">
        <v>-2000000</v>
      </c>
      <c r="P39" s="1304">
        <f t="shared" ref="P39:P48" si="4">N39+O39</f>
        <v>615209</v>
      </c>
      <c r="Q39" s="1248" t="s">
        <v>1260</v>
      </c>
      <c r="S39" s="28" t="s">
        <v>1448</v>
      </c>
      <c r="T39" s="1244">
        <f>+P64</f>
        <v>379000</v>
      </c>
      <c r="U39" s="1244"/>
      <c r="V39" s="1244">
        <v>450000</v>
      </c>
      <c r="W39" s="1244">
        <f t="shared" si="3"/>
        <v>-71000</v>
      </c>
    </row>
    <row r="40" spans="1:26" ht="17.25">
      <c r="A40" s="595" t="s">
        <v>882</v>
      </c>
      <c r="B40" s="1312">
        <v>430000</v>
      </c>
      <c r="D40" s="402"/>
      <c r="E40" s="402"/>
      <c r="J40" s="18"/>
      <c r="K40" s="24" t="s">
        <v>22</v>
      </c>
      <c r="L40" s="25" t="s">
        <v>44</v>
      </c>
      <c r="M40" s="318" t="s">
        <v>45</v>
      </c>
      <c r="N40" s="316">
        <v>6100000</v>
      </c>
      <c r="O40" s="317">
        <v>-400000</v>
      </c>
      <c r="P40" s="1303">
        <f t="shared" si="4"/>
        <v>5700000</v>
      </c>
      <c r="Q40" s="1248" t="s">
        <v>1260</v>
      </c>
      <c r="S40" s="38" t="s">
        <v>1452</v>
      </c>
      <c r="T40" s="1244">
        <f>+P62+P63</f>
        <v>264280</v>
      </c>
      <c r="U40" s="1244"/>
      <c r="V40" s="1244">
        <v>129280</v>
      </c>
      <c r="W40" s="1244">
        <f t="shared" si="3"/>
        <v>135000</v>
      </c>
    </row>
    <row r="41" spans="1:26" ht="18" thickBot="1">
      <c r="A41" s="1313" t="s">
        <v>13</v>
      </c>
      <c r="B41" s="1314">
        <f>SUM(B36:B40)</f>
        <v>17319704.460000001</v>
      </c>
      <c r="C41" s="174">
        <f>+B41+C37</f>
        <v>19644002.460000001</v>
      </c>
      <c r="D41" s="402"/>
      <c r="E41" s="402"/>
      <c r="J41" s="18"/>
      <c r="K41" s="24" t="s">
        <v>22</v>
      </c>
      <c r="L41" s="25" t="s">
        <v>46</v>
      </c>
      <c r="M41" s="318" t="s">
        <v>45</v>
      </c>
      <c r="N41" s="316">
        <v>1100000</v>
      </c>
      <c r="O41" s="317">
        <v>0</v>
      </c>
      <c r="P41" s="1303">
        <f t="shared" si="4"/>
        <v>1100000</v>
      </c>
      <c r="Q41" s="1248" t="s">
        <v>1260</v>
      </c>
      <c r="S41" s="28" t="s">
        <v>1449</v>
      </c>
      <c r="T41" s="1244">
        <f>+P59</f>
        <v>200000</v>
      </c>
      <c r="U41" s="1158"/>
      <c r="V41" s="1244">
        <v>200000</v>
      </c>
      <c r="W41" s="1244">
        <f t="shared" si="3"/>
        <v>0</v>
      </c>
    </row>
    <row r="42" spans="1:26" ht="18" thickBot="1">
      <c r="D42" s="402"/>
      <c r="E42" s="402"/>
      <c r="I42" s="1030"/>
      <c r="J42" s="18"/>
      <c r="K42" s="24" t="s">
        <v>22</v>
      </c>
      <c r="L42" s="29" t="s">
        <v>47</v>
      </c>
      <c r="M42" s="318" t="s">
        <v>45</v>
      </c>
      <c r="N42" s="316">
        <v>500000</v>
      </c>
      <c r="O42" s="317">
        <v>0</v>
      </c>
      <c r="P42" s="1303">
        <f t="shared" si="4"/>
        <v>500000</v>
      </c>
      <c r="Q42" s="1248" t="s">
        <v>1260</v>
      </c>
      <c r="S42" s="28" t="s">
        <v>1972</v>
      </c>
      <c r="T42" s="1244">
        <v>225000</v>
      </c>
      <c r="U42" s="1158"/>
      <c r="V42" s="1244">
        <v>0</v>
      </c>
      <c r="W42" s="1244">
        <f t="shared" si="3"/>
        <v>225000</v>
      </c>
    </row>
    <row r="43" spans="1:26" ht="18" thickBot="1">
      <c r="A43" s="1315" t="s">
        <v>1295</v>
      </c>
      <c r="B43" s="1316">
        <f>0.979*C43</f>
        <v>0</v>
      </c>
      <c r="D43" s="402"/>
      <c r="E43" s="402"/>
      <c r="I43" s="1031"/>
      <c r="J43" s="18"/>
      <c r="K43" s="31" t="s">
        <v>816</v>
      </c>
      <c r="L43" s="29" t="s">
        <v>1773</v>
      </c>
      <c r="M43" s="29" t="s">
        <v>52</v>
      </c>
      <c r="N43" s="319">
        <v>50000</v>
      </c>
      <c r="O43" s="317">
        <v>0</v>
      </c>
      <c r="P43" s="1303">
        <f t="shared" si="4"/>
        <v>50000</v>
      </c>
      <c r="Q43" s="1248" t="s">
        <v>1260</v>
      </c>
      <c r="S43" s="28" t="s">
        <v>1966</v>
      </c>
      <c r="T43" s="1244">
        <v>44000</v>
      </c>
      <c r="U43" s="1158"/>
      <c r="V43" s="1244">
        <v>0</v>
      </c>
      <c r="W43" s="1244">
        <f t="shared" si="3"/>
        <v>44000</v>
      </c>
    </row>
    <row r="44" spans="1:26" ht="17.25">
      <c r="J44" s="18"/>
      <c r="K44" s="31" t="s">
        <v>930</v>
      </c>
      <c r="L44" s="29" t="s">
        <v>931</v>
      </c>
      <c r="M44" s="29" t="s">
        <v>52</v>
      </c>
      <c r="N44" s="319">
        <v>400000</v>
      </c>
      <c r="O44" s="317">
        <v>0</v>
      </c>
      <c r="P44" s="1303">
        <f t="shared" si="4"/>
        <v>400000</v>
      </c>
      <c r="Q44" s="1248" t="s">
        <v>1260</v>
      </c>
      <c r="S44" s="28" t="s">
        <v>1967</v>
      </c>
      <c r="T44" s="1244">
        <v>104000</v>
      </c>
      <c r="U44" s="1158"/>
      <c r="V44" s="1244">
        <v>0</v>
      </c>
      <c r="W44" s="1244">
        <f t="shared" si="3"/>
        <v>104000</v>
      </c>
    </row>
    <row r="45" spans="1:26" ht="17.25">
      <c r="J45" s="18"/>
      <c r="K45" s="31" t="s">
        <v>53</v>
      </c>
      <c r="L45" s="29" t="s">
        <v>54</v>
      </c>
      <c r="M45" s="29" t="s">
        <v>52</v>
      </c>
      <c r="N45" s="319">
        <v>99159</v>
      </c>
      <c r="O45" s="317">
        <v>829</v>
      </c>
      <c r="P45" s="1303">
        <f t="shared" si="4"/>
        <v>99988</v>
      </c>
      <c r="Q45" s="1248" t="s">
        <v>1260</v>
      </c>
      <c r="S45" s="28" t="s">
        <v>1968</v>
      </c>
      <c r="T45" s="1244">
        <v>20000</v>
      </c>
      <c r="U45" s="1158"/>
      <c r="V45" s="1244">
        <v>0</v>
      </c>
      <c r="W45" s="1244">
        <f t="shared" si="3"/>
        <v>20000</v>
      </c>
    </row>
    <row r="46" spans="1:26" ht="18" thickBot="1">
      <c r="J46" s="18"/>
      <c r="K46" s="31" t="s">
        <v>817</v>
      </c>
      <c r="L46" s="29" t="s">
        <v>818</v>
      </c>
      <c r="M46" s="29" t="s">
        <v>52</v>
      </c>
      <c r="N46" s="319">
        <v>200000</v>
      </c>
      <c r="O46" s="317">
        <v>25000</v>
      </c>
      <c r="P46" s="1303">
        <f t="shared" si="4"/>
        <v>225000</v>
      </c>
      <c r="Q46" s="1248" t="s">
        <v>1260</v>
      </c>
      <c r="S46" s="28" t="s">
        <v>1970</v>
      </c>
      <c r="T46" s="1244">
        <v>26400</v>
      </c>
      <c r="U46" s="1158"/>
      <c r="V46" s="1244">
        <v>0</v>
      </c>
      <c r="W46" s="1244">
        <f t="shared" si="3"/>
        <v>26400</v>
      </c>
    </row>
    <row r="47" spans="1:26" ht="17.25">
      <c r="A47" s="886" t="s">
        <v>1338</v>
      </c>
      <c r="B47" s="1896" t="s">
        <v>1566</v>
      </c>
      <c r="J47" s="18"/>
      <c r="K47" s="26" t="s">
        <v>59</v>
      </c>
      <c r="L47" s="29" t="s">
        <v>1964</v>
      </c>
      <c r="M47" s="29" t="s">
        <v>52</v>
      </c>
      <c r="N47" s="319">
        <v>0</v>
      </c>
      <c r="O47" s="1249">
        <v>111000</v>
      </c>
      <c r="P47" s="1303">
        <f t="shared" si="4"/>
        <v>111000</v>
      </c>
      <c r="Q47" s="1248" t="s">
        <v>1260</v>
      </c>
      <c r="S47" s="28" t="s">
        <v>1975</v>
      </c>
      <c r="T47" s="1244">
        <v>360000</v>
      </c>
      <c r="U47" s="1158"/>
      <c r="V47" s="1244">
        <v>0</v>
      </c>
      <c r="W47" s="1244">
        <f t="shared" si="3"/>
        <v>360000</v>
      </c>
    </row>
    <row r="48" spans="1:26" ht="17.25">
      <c r="A48" s="1310" t="s">
        <v>1339</v>
      </c>
      <c r="B48" s="1311">
        <f>B8</f>
        <v>3288473.2881894102</v>
      </c>
      <c r="J48" s="18"/>
      <c r="K48" s="26" t="s">
        <v>56</v>
      </c>
      <c r="L48" s="25" t="s">
        <v>57</v>
      </c>
      <c r="M48" s="29" t="s">
        <v>52</v>
      </c>
      <c r="N48" s="319">
        <v>50000</v>
      </c>
      <c r="O48" s="1249">
        <v>-50000</v>
      </c>
      <c r="P48" s="1303">
        <f t="shared" si="4"/>
        <v>0</v>
      </c>
      <c r="Q48" s="1248" t="s">
        <v>1260</v>
      </c>
      <c r="R48" s="1800" t="s">
        <v>181</v>
      </c>
      <c r="S48" s="1800"/>
      <c r="T48" s="1801">
        <f>T6+T17+T24+T28+T31</f>
        <v>71714425.230000004</v>
      </c>
      <c r="U48" s="1243"/>
      <c r="V48" s="1801">
        <f>V6+V17+V24+V28+V31</f>
        <v>66957598</v>
      </c>
      <c r="W48" s="1801">
        <f>SUM(W7:W46)</f>
        <v>4303731.2299999995</v>
      </c>
    </row>
    <row r="49" spans="1:23" ht="17.25">
      <c r="A49" s="1310" t="s">
        <v>1342</v>
      </c>
      <c r="B49" s="1311">
        <f>B11</f>
        <v>1904526.7118105898</v>
      </c>
      <c r="J49" s="18"/>
      <c r="K49" s="24"/>
      <c r="L49" s="29"/>
      <c r="M49" s="318"/>
      <c r="N49" s="316"/>
      <c r="O49" s="317"/>
      <c r="P49" s="1303"/>
      <c r="Q49" s="1248"/>
      <c r="T49" s="46"/>
      <c r="U49" s="42"/>
      <c r="V49" s="42"/>
      <c r="W49" s="42"/>
    </row>
    <row r="50" spans="1:23" ht="17.25">
      <c r="A50" s="1310" t="s">
        <v>1343</v>
      </c>
      <c r="B50" s="1311">
        <v>11563620</v>
      </c>
      <c r="J50" s="1247" t="s">
        <v>1271</v>
      </c>
      <c r="K50" s="18"/>
      <c r="L50" s="18"/>
      <c r="M50" s="18"/>
      <c r="N50" s="18"/>
      <c r="O50" s="18"/>
      <c r="P50" s="18"/>
      <c r="Q50" s="28"/>
      <c r="T50" s="42"/>
      <c r="U50" s="42"/>
      <c r="V50" s="42"/>
      <c r="W50" s="42"/>
    </row>
    <row r="51" spans="1:23" ht="17.25">
      <c r="A51" s="1310" t="s">
        <v>1340</v>
      </c>
      <c r="B51" s="1311">
        <f>B23</f>
        <v>4500000</v>
      </c>
      <c r="J51" s="18"/>
      <c r="K51" s="26" t="s">
        <v>22</v>
      </c>
      <c r="L51" s="318" t="s">
        <v>28</v>
      </c>
      <c r="M51" s="318" t="s">
        <v>29</v>
      </c>
      <c r="N51" s="316">
        <v>850000</v>
      </c>
      <c r="O51" s="317">
        <v>-250000</v>
      </c>
      <c r="P51" s="1303">
        <f>N51+O51</f>
        <v>600000</v>
      </c>
      <c r="Q51" s="1248" t="s">
        <v>1260</v>
      </c>
      <c r="R51" s="1796" t="s">
        <v>1259</v>
      </c>
      <c r="S51" s="1796"/>
      <c r="T51" s="1799">
        <f>+P82</f>
        <v>3379900</v>
      </c>
      <c r="U51" s="1242"/>
      <c r="V51" s="1799">
        <v>3650000</v>
      </c>
      <c r="W51" s="1799">
        <f>+T51-V51</f>
        <v>-270100</v>
      </c>
    </row>
    <row r="52" spans="1:23" ht="17.25">
      <c r="A52" s="1310" t="s">
        <v>473</v>
      </c>
      <c r="B52" s="1311">
        <f>B14</f>
        <v>25061646.77</v>
      </c>
      <c r="J52" s="18"/>
      <c r="K52" s="26" t="s">
        <v>22</v>
      </c>
      <c r="L52" s="318" t="s">
        <v>30</v>
      </c>
      <c r="M52" s="318" t="s">
        <v>29</v>
      </c>
      <c r="N52" s="316">
        <v>750000</v>
      </c>
      <c r="O52" s="317">
        <f>1500000-750000</f>
        <v>750000</v>
      </c>
      <c r="P52" s="1300">
        <f>N52+O52</f>
        <v>1500000</v>
      </c>
      <c r="Q52" s="1248" t="s">
        <v>1260</v>
      </c>
      <c r="R52" s="18"/>
      <c r="S52" s="18"/>
      <c r="T52" s="18"/>
    </row>
    <row r="53" spans="1:23" ht="17.25">
      <c r="A53" s="1310" t="s">
        <v>1344</v>
      </c>
      <c r="B53" s="1311">
        <f>12690885-1603665</f>
        <v>11087220</v>
      </c>
      <c r="J53" s="18"/>
      <c r="K53" s="26" t="s">
        <v>22</v>
      </c>
      <c r="L53" s="318" t="s">
        <v>31</v>
      </c>
      <c r="M53" s="318" t="s">
        <v>32</v>
      </c>
      <c r="N53" s="316">
        <v>8357257</v>
      </c>
      <c r="O53" s="317">
        <v>500000</v>
      </c>
      <c r="P53" s="1300">
        <f>N53+O53</f>
        <v>8857257</v>
      </c>
      <c r="Q53" s="1248" t="s">
        <v>1260</v>
      </c>
      <c r="R53" s="18"/>
      <c r="S53" s="18"/>
      <c r="T53" s="18"/>
    </row>
    <row r="54" spans="1:23" ht="17.25">
      <c r="A54" s="1310"/>
      <c r="B54" s="1320"/>
      <c r="J54" s="18"/>
      <c r="K54" s="26" t="s">
        <v>22</v>
      </c>
      <c r="L54" s="318" t="s">
        <v>33</v>
      </c>
      <c r="M54" s="318" t="s">
        <v>32</v>
      </c>
      <c r="N54" s="316">
        <v>1258251</v>
      </c>
      <c r="O54" s="317">
        <v>0</v>
      </c>
      <c r="P54" s="1303">
        <f>N54+O54</f>
        <v>1258251</v>
      </c>
      <c r="Q54" s="1248" t="s">
        <v>1260</v>
      </c>
      <c r="R54" s="27">
        <f>SUM(N51:N54)</f>
        <v>11215508</v>
      </c>
      <c r="S54" s="27">
        <f>SUM(O51:O54)</f>
        <v>1000000</v>
      </c>
      <c r="T54" s="27">
        <f>SUM(P51:P54)</f>
        <v>12215508</v>
      </c>
    </row>
    <row r="55" spans="1:23" ht="18" thickBot="1">
      <c r="A55" s="1313"/>
      <c r="B55" s="1314"/>
      <c r="J55" s="18"/>
      <c r="K55" s="38"/>
      <c r="L55" s="38"/>
      <c r="M55" s="38"/>
      <c r="N55" s="38"/>
      <c r="O55" s="38"/>
      <c r="P55" s="38"/>
      <c r="Q55" s="28"/>
      <c r="R55" s="18"/>
      <c r="S55" s="18"/>
      <c r="T55" s="18"/>
    </row>
    <row r="56" spans="1:23" ht="17.25">
      <c r="J56" s="1247" t="s">
        <v>1272</v>
      </c>
      <c r="K56" s="38"/>
      <c r="L56" s="38"/>
      <c r="M56" s="38"/>
      <c r="N56" s="38"/>
      <c r="O56" s="38"/>
      <c r="P56" s="38"/>
      <c r="Q56" s="28"/>
      <c r="R56" s="18"/>
      <c r="S56" s="18"/>
      <c r="T56" s="18"/>
    </row>
    <row r="57" spans="1:23" ht="17.25">
      <c r="J57" s="28"/>
      <c r="K57" s="38" t="s">
        <v>932</v>
      </c>
      <c r="L57" s="38" t="s">
        <v>1273</v>
      </c>
      <c r="M57" s="29" t="s">
        <v>52</v>
      </c>
      <c r="N57" s="316">
        <v>1600000</v>
      </c>
      <c r="O57" s="317">
        <v>0</v>
      </c>
      <c r="P57" s="1303">
        <f>N57+O57</f>
        <v>1600000</v>
      </c>
      <c r="Q57" s="1510" t="s">
        <v>1260</v>
      </c>
      <c r="R57" s="38"/>
      <c r="S57" s="38"/>
      <c r="T57" s="38"/>
    </row>
    <row r="58" spans="1:23" ht="17.25">
      <c r="J58" s="28"/>
      <c r="K58" s="38" t="s">
        <v>1450</v>
      </c>
      <c r="L58" s="38" t="s">
        <v>1446</v>
      </c>
      <c r="M58" s="29" t="s">
        <v>52</v>
      </c>
      <c r="N58" s="1837">
        <v>550000</v>
      </c>
      <c r="O58" s="317">
        <v>-550000</v>
      </c>
      <c r="P58" s="1303">
        <f t="shared" ref="P58:P63" si="5">N58+O58</f>
        <v>0</v>
      </c>
      <c r="Q58" t="s">
        <v>1948</v>
      </c>
      <c r="S58" s="38"/>
      <c r="T58" s="38"/>
    </row>
    <row r="59" spans="1:23" ht="17.25">
      <c r="J59" s="28"/>
      <c r="K59" s="38" t="s">
        <v>332</v>
      </c>
      <c r="L59" s="38" t="s">
        <v>1445</v>
      </c>
      <c r="M59" s="29" t="s">
        <v>52</v>
      </c>
      <c r="N59" s="1837">
        <v>200000</v>
      </c>
      <c r="O59" s="317">
        <v>0</v>
      </c>
      <c r="P59" s="1303">
        <f t="shared" si="5"/>
        <v>200000</v>
      </c>
      <c r="Q59" s="1510"/>
      <c r="R59" s="38"/>
      <c r="S59" s="38"/>
      <c r="T59" s="38"/>
    </row>
    <row r="60" spans="1:23" ht="17.25">
      <c r="J60" s="28"/>
      <c r="K60" s="24"/>
      <c r="L60" s="25" t="s">
        <v>1829</v>
      </c>
      <c r="M60" s="29" t="s">
        <v>52</v>
      </c>
      <c r="N60" s="316">
        <v>0</v>
      </c>
      <c r="O60" s="317">
        <v>1000000</v>
      </c>
      <c r="P60" s="1303">
        <f t="shared" si="5"/>
        <v>1000000</v>
      </c>
      <c r="Q60" s="28"/>
      <c r="R60" s="38"/>
      <c r="S60" s="38"/>
      <c r="T60" s="38"/>
    </row>
    <row r="61" spans="1:23" ht="17.25">
      <c r="J61" s="28"/>
      <c r="K61" s="38" t="s">
        <v>332</v>
      </c>
      <c r="L61" s="38" t="s">
        <v>1453</v>
      </c>
      <c r="M61" s="29" t="s">
        <v>52</v>
      </c>
      <c r="N61" s="316">
        <v>450000</v>
      </c>
      <c r="O61" s="317">
        <v>-450000</v>
      </c>
      <c r="P61" s="1303">
        <f t="shared" si="5"/>
        <v>0</v>
      </c>
      <c r="Q61" s="1510"/>
      <c r="R61" s="38"/>
      <c r="S61" s="38"/>
      <c r="T61" s="38"/>
    </row>
    <row r="62" spans="1:23" ht="17.25">
      <c r="J62" s="28"/>
      <c r="K62" s="38" t="s">
        <v>1451</v>
      </c>
      <c r="L62" s="38" t="s">
        <v>1452</v>
      </c>
      <c r="M62" s="29" t="s">
        <v>52</v>
      </c>
      <c r="N62" s="316">
        <v>129280</v>
      </c>
      <c r="O62" s="317"/>
      <c r="P62" s="1303">
        <f t="shared" si="5"/>
        <v>129280</v>
      </c>
      <c r="Q62" s="1510"/>
      <c r="R62" s="38"/>
      <c r="S62" s="38"/>
      <c r="T62" s="38"/>
    </row>
    <row r="63" spans="1:23" ht="16.5">
      <c r="K63" s="38" t="s">
        <v>1451</v>
      </c>
      <c r="L63" s="38" t="s">
        <v>1971</v>
      </c>
      <c r="M63" s="29" t="s">
        <v>52</v>
      </c>
      <c r="N63" s="316">
        <v>0</v>
      </c>
      <c r="O63" s="317">
        <v>135000</v>
      </c>
      <c r="P63" s="1303">
        <f t="shared" si="5"/>
        <v>135000</v>
      </c>
      <c r="S63" s="38"/>
      <c r="T63" s="38"/>
    </row>
    <row r="64" spans="1:23" ht="17.25">
      <c r="J64" s="28"/>
      <c r="K64" s="38" t="s">
        <v>1443</v>
      </c>
      <c r="L64" s="38" t="s">
        <v>1444</v>
      </c>
      <c r="M64" s="29" t="s">
        <v>52</v>
      </c>
      <c r="N64" s="316">
        <v>450000</v>
      </c>
      <c r="O64" s="317">
        <v>-71000</v>
      </c>
      <c r="P64" s="1303">
        <f t="shared" ref="P64:P71" si="6">N64+O64</f>
        <v>379000</v>
      </c>
      <c r="Q64" s="38" t="s">
        <v>1953</v>
      </c>
      <c r="S64" s="38"/>
      <c r="T64" s="38"/>
    </row>
    <row r="65" spans="9:20" ht="17.25">
      <c r="J65" s="18"/>
      <c r="K65" s="38" t="s">
        <v>22</v>
      </c>
      <c r="L65" s="38" t="s">
        <v>1309</v>
      </c>
      <c r="M65" s="29" t="s">
        <v>52</v>
      </c>
      <c r="N65" s="316">
        <v>500000</v>
      </c>
      <c r="O65" s="317">
        <v>-500000</v>
      </c>
      <c r="P65" s="1303">
        <f t="shared" si="6"/>
        <v>0</v>
      </c>
      <c r="Q65" s="38"/>
    </row>
    <row r="66" spans="9:20" ht="16.5">
      <c r="K66" s="38" t="s">
        <v>816</v>
      </c>
      <c r="L66" s="38" t="s">
        <v>1972</v>
      </c>
      <c r="M66" s="29" t="s">
        <v>52</v>
      </c>
      <c r="N66" s="316">
        <v>0</v>
      </c>
      <c r="O66" s="317">
        <v>225000</v>
      </c>
      <c r="P66" s="1303">
        <f t="shared" si="6"/>
        <v>225000</v>
      </c>
    </row>
    <row r="67" spans="9:20" ht="16.5">
      <c r="K67" s="26" t="s">
        <v>59</v>
      </c>
      <c r="L67" s="38" t="s">
        <v>1966</v>
      </c>
      <c r="M67" s="29" t="s">
        <v>52</v>
      </c>
      <c r="N67" s="316">
        <v>0</v>
      </c>
      <c r="O67" s="317">
        <v>44000</v>
      </c>
      <c r="P67" s="1303">
        <f t="shared" si="6"/>
        <v>44000</v>
      </c>
    </row>
    <row r="68" spans="9:20" ht="16.5">
      <c r="K68" s="38" t="s">
        <v>1451</v>
      </c>
      <c r="L68" s="38" t="s">
        <v>1967</v>
      </c>
      <c r="M68" s="29" t="s">
        <v>52</v>
      </c>
      <c r="N68" s="316">
        <v>0</v>
      </c>
      <c r="O68" s="317">
        <v>104000</v>
      </c>
      <c r="P68" s="1303">
        <f t="shared" si="6"/>
        <v>104000</v>
      </c>
    </row>
    <row r="69" spans="9:20" ht="16.5">
      <c r="K69" s="38" t="s">
        <v>58</v>
      </c>
      <c r="L69" s="38" t="s">
        <v>1968</v>
      </c>
      <c r="M69" s="29" t="s">
        <v>52</v>
      </c>
      <c r="N69" s="316">
        <v>0</v>
      </c>
      <c r="O69" s="317">
        <v>20000</v>
      </c>
      <c r="P69" s="1303">
        <f t="shared" si="6"/>
        <v>20000</v>
      </c>
    </row>
    <row r="70" spans="9:20" ht="16.5">
      <c r="I70" s="1030"/>
      <c r="K70" s="38" t="s">
        <v>58</v>
      </c>
      <c r="L70" s="38" t="s">
        <v>1970</v>
      </c>
      <c r="M70" s="29" t="s">
        <v>52</v>
      </c>
      <c r="N70" s="316">
        <v>0</v>
      </c>
      <c r="O70" s="317">
        <v>26400</v>
      </c>
      <c r="P70" s="1303">
        <f t="shared" si="6"/>
        <v>26400</v>
      </c>
    </row>
    <row r="71" spans="9:20" ht="16.5">
      <c r="K71" s="38" t="s">
        <v>1973</v>
      </c>
      <c r="L71" s="38" t="s">
        <v>1974</v>
      </c>
      <c r="M71" s="29" t="s">
        <v>52</v>
      </c>
      <c r="N71" s="316">
        <v>0</v>
      </c>
      <c r="O71" s="317">
        <v>360000</v>
      </c>
      <c r="P71" s="1303">
        <f t="shared" si="6"/>
        <v>360000</v>
      </c>
    </row>
    <row r="72" spans="9:20" ht="17.25">
      <c r="J72" s="1247" t="s">
        <v>1274</v>
      </c>
      <c r="K72" s="18"/>
      <c r="L72" s="18"/>
      <c r="M72" s="18"/>
      <c r="N72" s="18"/>
      <c r="O72" s="18"/>
      <c r="P72" s="18"/>
      <c r="Q72" s="38"/>
    </row>
    <row r="73" spans="9:20" ht="17.25">
      <c r="J73" s="18"/>
      <c r="K73" s="24" t="s">
        <v>22</v>
      </c>
      <c r="L73" s="25" t="s">
        <v>51</v>
      </c>
      <c r="M73" s="25" t="s">
        <v>24</v>
      </c>
      <c r="N73" s="316">
        <v>3000000</v>
      </c>
      <c r="O73" s="317">
        <v>0</v>
      </c>
      <c r="P73" s="1303">
        <f t="shared" ref="P73:P77" si="7">N73+O73</f>
        <v>3000000</v>
      </c>
      <c r="Q73" s="38"/>
      <c r="R73" s="1250">
        <f>SUM(N73,N74,N75)</f>
        <v>6272300</v>
      </c>
      <c r="S73" s="1250">
        <f>SUM(O73,O74,O75)</f>
        <v>-1079300</v>
      </c>
      <c r="T73" s="1250">
        <f>SUM(P73,P74,P75)</f>
        <v>5193000</v>
      </c>
    </row>
    <row r="74" spans="9:20" ht="17.25">
      <c r="J74" s="38"/>
      <c r="K74" s="24" t="s">
        <v>22</v>
      </c>
      <c r="L74" s="25" t="s">
        <v>813</v>
      </c>
      <c r="M74" s="25" t="s">
        <v>48</v>
      </c>
      <c r="N74" s="316">
        <v>1720000</v>
      </c>
      <c r="O74" s="317">
        <v>473000</v>
      </c>
      <c r="P74" s="1303">
        <f>N74+O74</f>
        <v>2193000</v>
      </c>
      <c r="Q74" s="28"/>
      <c r="R74" s="38"/>
      <c r="S74" s="38"/>
      <c r="T74" s="38"/>
    </row>
    <row r="75" spans="9:20" ht="17.25">
      <c r="J75" s="28"/>
      <c r="K75" s="26" t="s">
        <v>22</v>
      </c>
      <c r="L75" s="318" t="s">
        <v>1275</v>
      </c>
      <c r="M75" s="318" t="s">
        <v>26</v>
      </c>
      <c r="N75" s="319">
        <v>1552300</v>
      </c>
      <c r="O75" s="317">
        <v>-1552300</v>
      </c>
      <c r="P75" s="1304">
        <f t="shared" si="7"/>
        <v>0</v>
      </c>
      <c r="Q75" s="28" t="s">
        <v>1260</v>
      </c>
      <c r="R75" s="18"/>
      <c r="S75" s="18"/>
      <c r="T75" s="18"/>
    </row>
    <row r="76" spans="9:20" ht="17.25">
      <c r="J76" s="18"/>
      <c r="K76" s="26" t="s">
        <v>22</v>
      </c>
      <c r="L76" s="318" t="s">
        <v>34</v>
      </c>
      <c r="M76" s="318" t="s">
        <v>35</v>
      </c>
      <c r="N76" s="316">
        <v>-7459260</v>
      </c>
      <c r="O76" s="979">
        <v>-1000000</v>
      </c>
      <c r="P76" s="1303">
        <f t="shared" si="7"/>
        <v>-8459260</v>
      </c>
      <c r="Q76" s="1248" t="s">
        <v>1260</v>
      </c>
      <c r="R76" s="18"/>
      <c r="S76" s="18"/>
      <c r="T76" s="18"/>
    </row>
    <row r="77" spans="9:20" ht="17.25">
      <c r="J77" s="18"/>
      <c r="K77" s="26" t="s">
        <v>22</v>
      </c>
      <c r="L77" s="318" t="s">
        <v>1774</v>
      </c>
      <c r="M77" s="318" t="s">
        <v>35</v>
      </c>
      <c r="N77" s="316">
        <v>-5675941</v>
      </c>
      <c r="O77" s="979">
        <f>N77*0.03</f>
        <v>-170278.22999999998</v>
      </c>
      <c r="P77" s="1303">
        <f t="shared" si="7"/>
        <v>-5846219.2300000004</v>
      </c>
      <c r="Q77" s="1248"/>
      <c r="R77" s="27">
        <f>SUM(N76,N77,N39)</f>
        <v>-10519992</v>
      </c>
      <c r="S77" s="27">
        <f>SUM(O76,O77,O39)</f>
        <v>-3170278.23</v>
      </c>
      <c r="T77" s="27">
        <f>SUM(P76,P77,P39)</f>
        <v>-13690270.23</v>
      </c>
    </row>
    <row r="78" spans="9:20" ht="17.25">
      <c r="I78" s="1030"/>
      <c r="J78" s="18"/>
      <c r="K78" s="24"/>
      <c r="L78" s="25"/>
      <c r="M78" s="25"/>
      <c r="N78" s="316"/>
      <c r="O78" s="317"/>
      <c r="P78" s="1303"/>
      <c r="Q78" s="28"/>
      <c r="R78" s="18"/>
      <c r="S78" s="18"/>
      <c r="T78" s="18"/>
    </row>
    <row r="79" spans="9:20" ht="17.25">
      <c r="J79" s="18"/>
      <c r="K79" s="24"/>
      <c r="L79" s="25"/>
      <c r="M79" s="25"/>
      <c r="N79" s="316"/>
      <c r="O79" s="317"/>
      <c r="P79" s="1303"/>
      <c r="Q79" s="28"/>
      <c r="R79" s="18"/>
      <c r="S79" s="18"/>
      <c r="T79" s="18"/>
    </row>
    <row r="80" spans="9:20" ht="17.25">
      <c r="J80" s="32" t="s">
        <v>1276</v>
      </c>
      <c r="K80" s="18"/>
      <c r="L80" s="18"/>
      <c r="M80" s="29"/>
      <c r="N80" s="1795">
        <f>SUM(N6:N77)</f>
        <v>54717794</v>
      </c>
      <c r="O80" s="1795">
        <f>SUM(O6:O77)</f>
        <v>4756827.2300000004</v>
      </c>
      <c r="P80" s="1795">
        <f>SUM(P9:P77)</f>
        <v>71714425.230000004</v>
      </c>
      <c r="Q80" s="28"/>
      <c r="R80" s="980">
        <f>SUM(R6:R78)</f>
        <v>6967816</v>
      </c>
      <c r="S80" s="980">
        <f>SUM(S6:S78)</f>
        <v>-3249578.23</v>
      </c>
      <c r="T80" s="980">
        <f>SUM(T6:T78)</f>
        <v>222241413.46000001</v>
      </c>
    </row>
    <row r="81" spans="8:17" ht="17.25">
      <c r="J81" s="32"/>
      <c r="K81" s="18"/>
      <c r="L81" s="18"/>
      <c r="M81" s="318"/>
      <c r="N81" s="35"/>
      <c r="O81" s="981"/>
      <c r="P81" s="1251"/>
      <c r="Q81" s="28"/>
    </row>
    <row r="82" spans="8:17" ht="17.25">
      <c r="J82" s="18"/>
      <c r="K82" s="18"/>
      <c r="L82" s="318"/>
      <c r="M82" s="1044" t="s">
        <v>934</v>
      </c>
      <c r="N82" s="982">
        <v>3650000</v>
      </c>
      <c r="O82" s="982">
        <v>0</v>
      </c>
      <c r="P82" s="982">
        <f>+N82+O82-270100</f>
        <v>3379900</v>
      </c>
      <c r="Q82" s="1248"/>
    </row>
    <row r="83" spans="8:17" ht="17.25">
      <c r="J83" s="37"/>
      <c r="K83" s="26"/>
      <c r="L83" s="318"/>
      <c r="M83" s="25"/>
      <c r="N83" s="982"/>
      <c r="O83" s="982"/>
      <c r="P83" s="982"/>
      <c r="Q83" s="28"/>
    </row>
    <row r="84" spans="8:17" ht="17.25">
      <c r="J84" s="38"/>
      <c r="K84" s="34"/>
      <c r="L84" s="25"/>
      <c r="M84" s="25"/>
      <c r="N84" s="982">
        <f>SUM(N80:N82)</f>
        <v>58367794</v>
      </c>
      <c r="O84" s="982">
        <f>SUM(O80:O82)</f>
        <v>4756827.2300000004</v>
      </c>
      <c r="P84" s="982">
        <f>SUM(P80:P82)</f>
        <v>75094325.230000004</v>
      </c>
      <c r="Q84" s="28"/>
    </row>
    <row r="85" spans="8:17" ht="17.25">
      <c r="J85" s="37"/>
      <c r="K85" s="36"/>
      <c r="L85" s="1044"/>
      <c r="M85" s="38"/>
      <c r="N85" s="1250">
        <f>+N84-N6</f>
        <v>70607598</v>
      </c>
      <c r="O85" s="982">
        <f>+O80</f>
        <v>4756827.2300000004</v>
      </c>
      <c r="P85" s="982">
        <f>P84-P6</f>
        <v>87334129.230000004</v>
      </c>
      <c r="Q85" s="28"/>
    </row>
    <row r="87" spans="8:17">
      <c r="P87" s="12">
        <f>+P80-T48</f>
        <v>0</v>
      </c>
    </row>
    <row r="88" spans="8:17">
      <c r="P88" s="402">
        <v>69968116.354426399</v>
      </c>
    </row>
    <row r="89" spans="8:17">
      <c r="P89" s="12">
        <f>+P80-P88</f>
        <v>1746308.8755736053</v>
      </c>
    </row>
    <row r="90" spans="8:17">
      <c r="H90" s="12"/>
    </row>
  </sheetData>
  <phoneticPr fontId="52" type="noConversion"/>
  <pageMargins left="0.75" right="0.75" top="1" bottom="1" header="0.5" footer="0.5"/>
  <pageSetup paperSize="3" scale="89" orientation="landscape" horizontalDpi="4294967292" verticalDpi="4294967292"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62"/>
  <sheetViews>
    <sheetView topLeftCell="A40" zoomScale="110" zoomScaleNormal="110" zoomScalePageLayoutView="110" workbookViewId="0">
      <selection activeCell="B10" sqref="B10"/>
    </sheetView>
  </sheetViews>
  <sheetFormatPr defaultColWidth="11" defaultRowHeight="15.75"/>
  <cols>
    <col min="1" max="1" width="36.125" customWidth="1"/>
    <col min="2" max="2" width="11.125" customWidth="1"/>
    <col min="3" max="4" width="11.5" customWidth="1"/>
    <col min="5" max="5" width="15.625" customWidth="1"/>
    <col min="6" max="6" width="3.375" customWidth="1"/>
    <col min="7" max="9" width="11" customWidth="1"/>
    <col min="10" max="10" width="12" customWidth="1"/>
    <col min="11" max="11" width="5.625" customWidth="1"/>
    <col min="12" max="12" width="11.875" customWidth="1"/>
    <col min="13" max="13" width="4.125" customWidth="1"/>
    <col min="14" max="14" width="3.125" customWidth="1"/>
    <col min="15" max="15" width="11" customWidth="1"/>
    <col min="16" max="16" width="12" customWidth="1"/>
    <col min="17" max="17" width="3.125" customWidth="1"/>
    <col min="18" max="18" width="13.875" customWidth="1"/>
    <col min="19" max="19" width="7.875" customWidth="1"/>
    <col min="20" max="20" width="12.875" customWidth="1"/>
    <col min="21" max="21" width="13.625" bestFit="1" customWidth="1"/>
    <col min="22" max="22" width="11.625" bestFit="1" customWidth="1"/>
    <col min="24" max="24" width="15.375" customWidth="1"/>
  </cols>
  <sheetData>
    <row r="1" spans="1:24">
      <c r="A1" s="169" t="s">
        <v>61</v>
      </c>
      <c r="B1" s="169"/>
      <c r="C1" s="169"/>
      <c r="D1" s="169"/>
      <c r="E1" s="169"/>
      <c r="F1" s="169"/>
      <c r="G1" s="169"/>
      <c r="H1" s="169"/>
      <c r="I1" s="1284" t="s">
        <v>698</v>
      </c>
      <c r="J1" s="390"/>
      <c r="K1" s="1285"/>
      <c r="L1" s="1286">
        <v>0.02</v>
      </c>
      <c r="M1" s="169"/>
      <c r="N1" s="169"/>
      <c r="O1" s="169"/>
      <c r="Q1" s="169"/>
      <c r="R1" s="196" t="s">
        <v>174</v>
      </c>
      <c r="S1" s="197"/>
      <c r="T1" s="201">
        <f>'Step 0 FY20 Revenue'!L59</f>
        <v>597416226.57626891</v>
      </c>
      <c r="U1" s="169"/>
      <c r="V1" s="196" t="s">
        <v>1310</v>
      </c>
      <c r="W1" s="197"/>
      <c r="X1" s="201">
        <f>'Step 2 Productivity Split'!C18</f>
        <v>180668745.73748711</v>
      </c>
    </row>
    <row r="2" spans="1:24" ht="16.5" thickBot="1">
      <c r="A2" s="169" t="s">
        <v>1616</v>
      </c>
      <c r="B2" s="169"/>
      <c r="C2" s="169"/>
      <c r="D2" s="169"/>
      <c r="E2" s="169"/>
      <c r="F2" s="169"/>
      <c r="G2" s="169"/>
      <c r="H2" s="169"/>
      <c r="I2" s="1287" t="s">
        <v>699</v>
      </c>
      <c r="J2" s="396"/>
      <c r="K2" s="1288"/>
      <c r="L2" s="1289">
        <v>3.5000000000000003E-2</v>
      </c>
      <c r="M2" s="169"/>
      <c r="N2" s="169"/>
      <c r="O2" s="169"/>
      <c r="P2" s="169"/>
      <c r="Q2" s="169"/>
      <c r="R2" s="198" t="s">
        <v>175</v>
      </c>
      <c r="S2" s="199"/>
      <c r="T2" s="200">
        <f>T1-SUM(B59:P59)</f>
        <v>149514098.96748716</v>
      </c>
      <c r="U2" s="169"/>
      <c r="V2" s="198" t="s">
        <v>1311</v>
      </c>
      <c r="W2" s="199"/>
      <c r="X2" s="200">
        <f>X1-SUM(B6,B7,B11,B12)-C59-E58-E8</f>
        <v>149514098.9674871</v>
      </c>
    </row>
    <row r="3" spans="1:24">
      <c r="A3" s="169"/>
      <c r="B3" s="385"/>
      <c r="C3" s="169"/>
      <c r="D3" s="169"/>
      <c r="E3" s="169"/>
      <c r="F3" s="169"/>
      <c r="G3" s="169"/>
      <c r="H3" s="169"/>
      <c r="M3" s="169"/>
      <c r="N3" s="169"/>
      <c r="O3" s="169"/>
      <c r="P3" s="169"/>
      <c r="Q3" s="169"/>
    </row>
    <row r="4" spans="1:24">
      <c r="A4" s="170"/>
      <c r="B4" s="1940" t="s">
        <v>165</v>
      </c>
      <c r="C4" s="1940"/>
      <c r="D4" s="1940"/>
      <c r="E4" s="1940"/>
      <c r="F4" s="190"/>
      <c r="G4" s="1941" t="s">
        <v>166</v>
      </c>
      <c r="H4" s="1941"/>
      <c r="I4" s="1941"/>
      <c r="J4" s="1941"/>
      <c r="K4" s="190"/>
      <c r="L4" s="1947" t="s">
        <v>629</v>
      </c>
      <c r="M4" s="1947"/>
      <c r="N4" s="170"/>
      <c r="O4" s="1942" t="s">
        <v>151</v>
      </c>
      <c r="P4" s="1942"/>
      <c r="Q4" s="170"/>
      <c r="R4" s="170"/>
      <c r="S4" s="170"/>
      <c r="T4" s="404"/>
      <c r="U4" s="404"/>
      <c r="V4" s="170"/>
    </row>
    <row r="5" spans="1:24" s="182" customFormat="1" ht="63.75">
      <c r="A5" s="180" t="s">
        <v>68</v>
      </c>
      <c r="B5" s="224" t="s">
        <v>172</v>
      </c>
      <c r="C5" s="224" t="s">
        <v>700</v>
      </c>
      <c r="D5" s="224" t="s">
        <v>635</v>
      </c>
      <c r="E5" s="224" t="s">
        <v>1346</v>
      </c>
      <c r="F5" s="224"/>
      <c r="G5" s="224" t="s">
        <v>156</v>
      </c>
      <c r="H5" s="224" t="s">
        <v>157</v>
      </c>
      <c r="I5" s="224" t="s">
        <v>158</v>
      </c>
      <c r="J5" s="224" t="s">
        <v>159</v>
      </c>
      <c r="K5" s="224"/>
      <c r="L5" s="638"/>
      <c r="M5" s="638"/>
      <c r="N5" s="224"/>
      <c r="O5" s="224" t="s">
        <v>164</v>
      </c>
      <c r="P5" s="224" t="s">
        <v>168</v>
      </c>
      <c r="Q5" s="1007"/>
      <c r="R5" s="224" t="s">
        <v>1617</v>
      </c>
      <c r="S5" s="1076"/>
      <c r="T5" s="224" t="s">
        <v>1806</v>
      </c>
    </row>
    <row r="6" spans="1:24">
      <c r="A6" s="171" t="s">
        <v>470</v>
      </c>
      <c r="B6" s="40">
        <f>'Step 4a IM Summary'!B8</f>
        <v>3288473.2881894102</v>
      </c>
      <c r="C6" s="40"/>
      <c r="D6" s="40"/>
      <c r="E6" s="40">
        <f>'Step 3 Acad Product &amp; Pools'!E6</f>
        <v>0</v>
      </c>
      <c r="F6" s="40"/>
      <c r="G6" s="40">
        <f>'Step 3 Acad Product &amp; Pools'!G6</f>
        <v>0</v>
      </c>
      <c r="H6" s="40">
        <f>'Step 3 Acad Product &amp; Pools'!H6</f>
        <v>0</v>
      </c>
      <c r="I6" s="40">
        <f>'Step 3 Acad Product &amp; Pools'!I6</f>
        <v>0</v>
      </c>
      <c r="J6" s="40">
        <f>'Step 3 Acad Product &amp; Pools'!J6</f>
        <v>0</v>
      </c>
      <c r="K6" s="40"/>
      <c r="L6" s="40">
        <f>SUM('Step 3 Acad Product &amp; Pools'!L6:Q6)</f>
        <v>0</v>
      </c>
      <c r="M6" s="40"/>
      <c r="N6" s="44"/>
      <c r="O6" s="40">
        <f>'Step 3 Acad Product &amp; Pools'!T6</f>
        <v>0</v>
      </c>
      <c r="P6" s="40">
        <f>'Step 3 Acad Product &amp; Pools'!U6</f>
        <v>0</v>
      </c>
      <c r="R6" s="40">
        <f t="shared" ref="R6:R12" si="0">SUM(B6:P6)</f>
        <v>3288473.2881894102</v>
      </c>
      <c r="S6" s="161"/>
      <c r="T6" s="40">
        <v>-626137</v>
      </c>
    </row>
    <row r="7" spans="1:24">
      <c r="A7" s="171" t="s">
        <v>1320</v>
      </c>
      <c r="B7" s="40">
        <f>'Step 4a IM Summary'!B11</f>
        <v>1904526.7118105898</v>
      </c>
      <c r="C7" s="40">
        <v>0</v>
      </c>
      <c r="D7" s="40"/>
      <c r="E7" s="40">
        <f>'Step 3 Acad Product &amp; Pools'!E7</f>
        <v>0</v>
      </c>
      <c r="F7" s="40"/>
      <c r="G7" s="40">
        <f>'Step 3 Acad Product &amp; Pools'!G7</f>
        <v>0</v>
      </c>
      <c r="H7" s="40">
        <f>'Step 3 Acad Product &amp; Pools'!H7</f>
        <v>0</v>
      </c>
      <c r="I7" s="40">
        <f>'Step 3 Acad Product &amp; Pools'!I7</f>
        <v>0</v>
      </c>
      <c r="J7" s="40">
        <f>'Step 3 Acad Product &amp; Pools'!J7</f>
        <v>0</v>
      </c>
      <c r="K7" s="40"/>
      <c r="L7" s="40">
        <f>SUM('Step 3 Acad Product &amp; Pools'!L7:Q7)</f>
        <v>0</v>
      </c>
      <c r="M7" s="40"/>
      <c r="N7" s="44"/>
      <c r="O7" s="40">
        <f>'Step 3 Acad Product &amp; Pools'!T7</f>
        <v>-270100</v>
      </c>
      <c r="P7" s="40">
        <f>'Step 3 Acad Product &amp; Pools'!U7</f>
        <v>6843000</v>
      </c>
      <c r="R7" s="40">
        <f t="shared" si="0"/>
        <v>8477426.7118105888</v>
      </c>
      <c r="S7" s="161"/>
      <c r="T7" s="40">
        <v>7259180</v>
      </c>
    </row>
    <row r="8" spans="1:24">
      <c r="A8" s="171" t="s">
        <v>1319</v>
      </c>
      <c r="B8" s="40">
        <f>'Step 3 Acad Product &amp; Pools'!B8</f>
        <v>0</v>
      </c>
      <c r="C8" s="40">
        <v>0</v>
      </c>
      <c r="D8" s="40"/>
      <c r="E8" s="40">
        <f>'Step 3 Acad Product &amp; Pools'!E8</f>
        <v>0</v>
      </c>
      <c r="F8" s="40"/>
      <c r="G8" s="40">
        <f>'Step 3 Acad Product &amp; Pools'!G8</f>
        <v>0</v>
      </c>
      <c r="H8" s="40">
        <f>'Step 3 Acad Product &amp; Pools'!H8</f>
        <v>0</v>
      </c>
      <c r="I8" s="40">
        <f>'Step 3 Acad Product &amp; Pools'!I8</f>
        <v>0</v>
      </c>
      <c r="J8" s="40">
        <f>'Step 3 Acad Product &amp; Pools'!J8</f>
        <v>0</v>
      </c>
      <c r="K8" s="40"/>
      <c r="L8" s="40">
        <f>SUM('Step 3 Acad Product &amp; Pools'!L8:Q8)</f>
        <v>0</v>
      </c>
      <c r="M8" s="40"/>
      <c r="N8" s="44"/>
      <c r="O8" s="40">
        <f>'Step 3 Acad Product &amp; Pools'!T8</f>
        <v>0</v>
      </c>
      <c r="P8" s="40">
        <f>'Step 3 Acad Product &amp; Pools'!U8</f>
        <v>0</v>
      </c>
      <c r="R8" s="40">
        <f t="shared" si="0"/>
        <v>0</v>
      </c>
      <c r="S8" s="161"/>
      <c r="T8" s="40">
        <v>-10659942.763277592</v>
      </c>
      <c r="V8" s="12"/>
    </row>
    <row r="9" spans="1:24">
      <c r="A9" s="171" t="s">
        <v>714</v>
      </c>
      <c r="B9" s="40">
        <f>'Step 3 Acad Product &amp; Pools'!B9</f>
        <v>0</v>
      </c>
      <c r="C9" s="40">
        <f>'Step 3 Acad Product &amp; Pools'!C9</f>
        <v>0</v>
      </c>
      <c r="D9" s="40"/>
      <c r="E9" s="40">
        <f>'Step 3 Acad Product &amp; Pools'!E9</f>
        <v>0</v>
      </c>
      <c r="F9" s="40"/>
      <c r="G9" s="40">
        <f>'Step 3 Acad Product &amp; Pools'!G9</f>
        <v>0</v>
      </c>
      <c r="H9" s="40">
        <f>'Step 3 Acad Product &amp; Pools'!H9</f>
        <v>0</v>
      </c>
      <c r="I9" s="40">
        <f>'Step 3 Acad Product &amp; Pools'!I9</f>
        <v>0</v>
      </c>
      <c r="J9" s="40">
        <f>'Step 3 Acad Product &amp; Pools'!J9</f>
        <v>0</v>
      </c>
      <c r="K9" s="40"/>
      <c r="L9" s="40">
        <f>SUM('Step 3 Acad Product &amp; Pools'!L9:Q9)</f>
        <v>0</v>
      </c>
      <c r="M9" s="40"/>
      <c r="N9" s="44"/>
      <c r="O9" s="40">
        <f>'Step 3 Acad Product &amp; Pools'!T9</f>
        <v>0</v>
      </c>
      <c r="P9" s="40">
        <f>'Step 3 Acad Product &amp; Pools'!U9</f>
        <v>13000000</v>
      </c>
      <c r="R9" s="40">
        <f t="shared" si="0"/>
        <v>13000000</v>
      </c>
      <c r="S9" s="161"/>
      <c r="T9" s="40">
        <v>10000000</v>
      </c>
    </row>
    <row r="10" spans="1:24">
      <c r="A10" s="171" t="s">
        <v>471</v>
      </c>
      <c r="B10" s="40">
        <f>'Step 3 Acad Product &amp; Pools'!B10</f>
        <v>17319704</v>
      </c>
      <c r="C10" s="40">
        <f>'Step 3 Acad Product &amp; Pools'!C10</f>
        <v>0</v>
      </c>
      <c r="D10" s="40"/>
      <c r="E10" s="40">
        <f>'Step 3 Acad Product &amp; Pools'!E10</f>
        <v>93096</v>
      </c>
      <c r="F10" s="40"/>
      <c r="G10" s="40">
        <f>'Step 3 Acad Product &amp; Pools'!G10</f>
        <v>0</v>
      </c>
      <c r="H10" s="40">
        <f>'Step 3 Acad Product &amp; Pools'!H10</f>
        <v>0</v>
      </c>
      <c r="I10" s="40">
        <f>'Step 3 Acad Product &amp; Pools'!I10</f>
        <v>0</v>
      </c>
      <c r="J10" s="40">
        <f>'Step 3 Acad Product &amp; Pools'!J10</f>
        <v>0</v>
      </c>
      <c r="K10" s="40"/>
      <c r="L10" s="40">
        <f>SUM('Step 3 Acad Product &amp; Pools'!L10:Q10)</f>
        <v>0</v>
      </c>
      <c r="M10" s="40"/>
      <c r="N10" s="44"/>
      <c r="O10" s="40">
        <f>'Step 3 Acad Product &amp; Pools'!T10</f>
        <v>0</v>
      </c>
      <c r="P10" s="40">
        <f>'Step 3 Acad Product &amp; Pools'!U10</f>
        <v>2324298</v>
      </c>
      <c r="R10" s="40">
        <f t="shared" si="0"/>
        <v>19737098</v>
      </c>
      <c r="S10" s="161"/>
      <c r="T10" s="40">
        <v>18178922</v>
      </c>
    </row>
    <row r="11" spans="1:24">
      <c r="A11" s="171" t="s">
        <v>472</v>
      </c>
      <c r="B11" s="40">
        <f>'Step 4a IM Summary'!B23</f>
        <v>4500000</v>
      </c>
      <c r="C11" s="40">
        <f>'Step 3 Acad Product &amp; Pools'!C11</f>
        <v>0</v>
      </c>
      <c r="D11" s="40"/>
      <c r="E11" s="40">
        <f>'Step 3 Acad Product &amp; Pools'!E11</f>
        <v>0</v>
      </c>
      <c r="F11" s="40"/>
      <c r="G11" s="40">
        <f>'Step 3 Acad Product &amp; Pools'!G11</f>
        <v>0</v>
      </c>
      <c r="H11" s="40">
        <f>'Step 3 Acad Product &amp; Pools'!H11</f>
        <v>0</v>
      </c>
      <c r="I11" s="40">
        <f>'Step 3 Acad Product &amp; Pools'!I11</f>
        <v>0</v>
      </c>
      <c r="J11" s="40">
        <f>'Step 3 Acad Product &amp; Pools'!J11</f>
        <v>0</v>
      </c>
      <c r="K11" s="40"/>
      <c r="L11" s="40">
        <f>SUM('Step 3 Acad Product &amp; Pools'!L11:Q11)</f>
        <v>0</v>
      </c>
      <c r="M11" s="40"/>
      <c r="N11" s="44"/>
      <c r="O11" s="40">
        <f>'Step 3 Acad Product &amp; Pools'!T11</f>
        <v>0</v>
      </c>
      <c r="P11" s="40">
        <f>'Step 3 Acad Product &amp; Pools'!U11</f>
        <v>0</v>
      </c>
      <c r="R11" s="40">
        <f t="shared" si="0"/>
        <v>4500000</v>
      </c>
      <c r="S11" s="161"/>
      <c r="T11" s="40">
        <v>4150000</v>
      </c>
    </row>
    <row r="12" spans="1:24">
      <c r="A12" s="171" t="s">
        <v>473</v>
      </c>
      <c r="B12" s="40">
        <f>'Step 4a IM Summary'!B14-P12</f>
        <v>21461646.77</v>
      </c>
      <c r="C12" s="40">
        <f>'Step 3 Acad Product &amp; Pools'!C12</f>
        <v>0</v>
      </c>
      <c r="D12" s="40"/>
      <c r="E12" s="40">
        <f>'Step 3 Acad Product &amp; Pools'!E12</f>
        <v>0</v>
      </c>
      <c r="F12" s="40"/>
      <c r="G12" s="40">
        <f>'Step 3 Acad Product &amp; Pools'!G12</f>
        <v>0</v>
      </c>
      <c r="H12" s="40">
        <f>'Step 3 Acad Product &amp; Pools'!H12</f>
        <v>0</v>
      </c>
      <c r="I12" s="40">
        <f>'Step 3 Acad Product &amp; Pools'!I12</f>
        <v>0</v>
      </c>
      <c r="J12" s="40">
        <f>'Step 3 Acad Product &amp; Pools'!J12</f>
        <v>0</v>
      </c>
      <c r="K12" s="40"/>
      <c r="L12" s="40">
        <f>SUM('Step 3 Acad Product &amp; Pools'!L12:Q12)</f>
        <v>0</v>
      </c>
      <c r="M12" s="40"/>
      <c r="N12" s="44"/>
      <c r="O12" s="40">
        <f>'Step 3 Acad Product &amp; Pools'!T12</f>
        <v>0</v>
      </c>
      <c r="P12" s="40">
        <f>'Step 3 Acad Product &amp; Pools'!U12</f>
        <v>3600000</v>
      </c>
      <c r="R12" s="40">
        <f t="shared" si="0"/>
        <v>25061646.77</v>
      </c>
      <c r="S12" s="161"/>
      <c r="T12" s="40">
        <v>26139223</v>
      </c>
    </row>
    <row r="13" spans="1:24">
      <c r="A13" s="162"/>
      <c r="B13" s="44"/>
      <c r="C13" s="44"/>
      <c r="D13" s="44"/>
      <c r="E13" s="44"/>
      <c r="F13" s="44"/>
      <c r="G13" s="44"/>
      <c r="H13" s="44"/>
      <c r="I13" s="44"/>
      <c r="J13" s="44"/>
      <c r="K13" s="44"/>
      <c r="L13" s="44"/>
      <c r="M13" s="44"/>
      <c r="N13" s="44"/>
      <c r="O13" s="44"/>
      <c r="P13" s="44"/>
      <c r="R13" s="44"/>
      <c r="S13" s="162"/>
      <c r="T13" s="44"/>
    </row>
    <row r="14" spans="1:24">
      <c r="A14" s="47" t="s">
        <v>71</v>
      </c>
      <c r="B14" s="33"/>
      <c r="C14" s="33"/>
      <c r="D14" s="33"/>
      <c r="E14" s="33"/>
      <c r="F14" s="33"/>
      <c r="G14" s="33"/>
      <c r="H14" s="33"/>
      <c r="I14" s="33"/>
      <c r="J14" s="33"/>
      <c r="K14" s="33"/>
      <c r="L14" s="33"/>
      <c r="M14" s="33"/>
      <c r="N14" s="45"/>
      <c r="O14" s="33"/>
      <c r="P14" s="33"/>
      <c r="R14" s="44"/>
      <c r="S14" s="162"/>
      <c r="T14" s="33"/>
    </row>
    <row r="15" spans="1:24">
      <c r="A15" s="1280" t="s">
        <v>1316</v>
      </c>
      <c r="B15" s="50">
        <f>'Step 3 Acad Product &amp; Pools'!B15</f>
        <v>0</v>
      </c>
      <c r="C15" s="50">
        <f>'Step 3 Acad Product &amp; Pools'!C15</f>
        <v>0</v>
      </c>
      <c r="D15" s="50"/>
      <c r="E15" s="50">
        <f>'Step 3 Acad Product &amp; Pools'!E15</f>
        <v>0</v>
      </c>
      <c r="F15" s="50"/>
      <c r="G15" s="50">
        <f>'Step 3 Acad Product &amp; Pools'!G15</f>
        <v>0</v>
      </c>
      <c r="H15" s="50">
        <f>'Step 3 Acad Product &amp; Pools'!H15</f>
        <v>0</v>
      </c>
      <c r="I15" s="50">
        <f>'Step 3 Acad Product &amp; Pools'!I15</f>
        <v>0</v>
      </c>
      <c r="J15" s="50">
        <f>'Step 3 Acad Product &amp; Pools'!J15</f>
        <v>0</v>
      </c>
      <c r="K15" s="50"/>
      <c r="L15" s="50">
        <f>SUM('Step 3 Acad Product &amp; Pools'!L15:Q15)</f>
        <v>0</v>
      </c>
      <c r="M15" s="33"/>
      <c r="N15" s="45"/>
      <c r="O15" s="33"/>
      <c r="P15" s="33"/>
      <c r="R15" s="33"/>
      <c r="S15" s="161"/>
      <c r="T15" s="1824"/>
    </row>
    <row r="16" spans="1:24">
      <c r="A16" s="173" t="s">
        <v>72</v>
      </c>
      <c r="B16" s="40">
        <f>'Step 3 Acad Product &amp; Pools'!B16</f>
        <v>0</v>
      </c>
      <c r="C16" s="40">
        <f>'Step 3 Acad Product &amp; Pools'!C16</f>
        <v>0</v>
      </c>
      <c r="D16" s="40"/>
      <c r="E16" s="40">
        <f>'Step 3 Acad Product &amp; Pools'!E16</f>
        <v>0</v>
      </c>
      <c r="F16" s="40"/>
      <c r="G16" s="40">
        <f>'Step 3 Acad Product &amp; Pools'!G16</f>
        <v>0</v>
      </c>
      <c r="H16" s="40">
        <f>'Step 3 Acad Product &amp; Pools'!H16</f>
        <v>0</v>
      </c>
      <c r="I16" s="40">
        <f>'Step 3 Acad Product &amp; Pools'!I16</f>
        <v>0</v>
      </c>
      <c r="J16" s="40">
        <f>'Step 3 Acad Product &amp; Pools'!J16</f>
        <v>0</v>
      </c>
      <c r="K16" s="40"/>
      <c r="L16" s="372">
        <f>SUM('Step 3 Acad Product &amp; Pools'!L16:Q16)</f>
        <v>21402274.354946967</v>
      </c>
      <c r="M16" s="372"/>
      <c r="N16" s="44"/>
      <c r="O16" s="372">
        <f>'Step 1 Dedicated Funds'!N16</f>
        <v>-114722.94</v>
      </c>
      <c r="P16" s="372">
        <f>SUM('Step 1 Dedicated Funds'!O16:T16)</f>
        <v>3450310</v>
      </c>
      <c r="R16" s="40">
        <f>SUM(B16:P16)</f>
        <v>24737861.414946966</v>
      </c>
      <c r="S16" s="162"/>
      <c r="T16" s="40">
        <v>23993241</v>
      </c>
    </row>
    <row r="17" spans="1:20">
      <c r="A17" s="49" t="s">
        <v>73</v>
      </c>
      <c r="B17" s="44">
        <f>'Step 3 Acad Product &amp; Pools'!B17</f>
        <v>0</v>
      </c>
      <c r="C17" s="44">
        <f>'Step 3 Acad Product &amp; Pools'!C17</f>
        <v>0</v>
      </c>
      <c r="D17" s="44"/>
      <c r="E17" s="44">
        <f>'Step 3 Acad Product &amp; Pools'!E17</f>
        <v>0</v>
      </c>
      <c r="F17" s="44"/>
      <c r="G17" s="44">
        <f>'Step 3 Acad Product &amp; Pools'!G17</f>
        <v>0</v>
      </c>
      <c r="H17" s="44">
        <f>'Step 3 Acad Product &amp; Pools'!H17</f>
        <v>0</v>
      </c>
      <c r="I17" s="44">
        <f>'Step 3 Acad Product &amp; Pools'!I17</f>
        <v>0</v>
      </c>
      <c r="J17" s="44">
        <f>'Step 3 Acad Product &amp; Pools'!J17</f>
        <v>0</v>
      </c>
      <c r="K17" s="44"/>
      <c r="L17" s="373">
        <f>SUM('Step 3 Acad Product &amp; Pools'!L17:Q17)</f>
        <v>20283312.929002929</v>
      </c>
      <c r="M17" s="373"/>
      <c r="N17" s="44"/>
      <c r="O17" s="373">
        <f>'Step 1 Dedicated Funds'!N17</f>
        <v>-40855.178</v>
      </c>
      <c r="P17" s="373">
        <f>SUM('Step 1 Dedicated Funds'!O17:T17)</f>
        <v>3083462.1521200002</v>
      </c>
      <c r="R17" s="44">
        <f t="shared" ref="R17:R34" si="1">SUM(B17:P17)</f>
        <v>23325919.903122932</v>
      </c>
      <c r="S17" s="162"/>
      <c r="T17" s="44">
        <v>21443844</v>
      </c>
    </row>
    <row r="18" spans="1:20">
      <c r="A18" s="172" t="s">
        <v>74</v>
      </c>
      <c r="B18" s="44">
        <f>'Step 3 Acad Product &amp; Pools'!B18</f>
        <v>0</v>
      </c>
      <c r="C18" s="44">
        <f>'Step 3 Acad Product &amp; Pools'!C18</f>
        <v>0</v>
      </c>
      <c r="D18" s="44"/>
      <c r="E18" s="44">
        <f>'Step 3 Acad Product &amp; Pools'!E18</f>
        <v>0</v>
      </c>
      <c r="F18" s="44"/>
      <c r="G18" s="44">
        <f>'Step 3 Acad Product &amp; Pools'!G18</f>
        <v>0</v>
      </c>
      <c r="H18" s="44">
        <f>'Step 3 Acad Product &amp; Pools'!H18</f>
        <v>0</v>
      </c>
      <c r="I18" s="44">
        <f>'Step 3 Acad Product &amp; Pools'!I18</f>
        <v>0</v>
      </c>
      <c r="J18" s="44">
        <f>'Step 3 Acad Product &amp; Pools'!J18</f>
        <v>0</v>
      </c>
      <c r="K18" s="44"/>
      <c r="L18" s="373">
        <f>SUM('Step 3 Acad Product &amp; Pools'!L18:Q18)</f>
        <v>48192990.868868649</v>
      </c>
      <c r="M18" s="373"/>
      <c r="N18" s="44"/>
      <c r="O18" s="373">
        <f>'Step 1 Dedicated Funds'!N18</f>
        <v>-646197.82200000004</v>
      </c>
      <c r="P18" s="373">
        <f>SUM('Step 1 Dedicated Funds'!O18:T18)</f>
        <v>20864384.166999999</v>
      </c>
      <c r="R18" s="44">
        <f t="shared" si="1"/>
        <v>68411177.213868648</v>
      </c>
      <c r="S18" s="162"/>
      <c r="T18" s="44">
        <v>67030706</v>
      </c>
    </row>
    <row r="19" spans="1:20">
      <c r="A19" s="173" t="s">
        <v>75</v>
      </c>
      <c r="B19" s="40">
        <f>'Step 3 Acad Product &amp; Pools'!B19</f>
        <v>0</v>
      </c>
      <c r="C19" s="40">
        <f>'Step 3 Acad Product &amp; Pools'!C19</f>
        <v>0</v>
      </c>
      <c r="D19" s="40"/>
      <c r="E19" s="40">
        <f>'Step 3 Acad Product &amp; Pools'!E19</f>
        <v>737700</v>
      </c>
      <c r="F19" s="40"/>
      <c r="G19" s="40">
        <f>'Step 3 Acad Product &amp; Pools'!G19</f>
        <v>0</v>
      </c>
      <c r="H19" s="40">
        <f>'Step 3 Acad Product &amp; Pools'!H19</f>
        <v>0</v>
      </c>
      <c r="I19" s="40">
        <f>'Step 3 Acad Product &amp; Pools'!I19</f>
        <v>0</v>
      </c>
      <c r="J19" s="40">
        <f>'Step 3 Acad Product &amp; Pools'!J19</f>
        <v>0</v>
      </c>
      <c r="K19" s="40"/>
      <c r="L19" s="372">
        <f>SUM('Step 3 Acad Product &amp; Pools'!L19:Q19)</f>
        <v>5566714.5894065304</v>
      </c>
      <c r="M19" s="372"/>
      <c r="N19" s="44"/>
      <c r="O19" s="372">
        <f>'Step 1 Dedicated Funds'!N19</f>
        <v>-190577.89799999999</v>
      </c>
      <c r="P19" s="372">
        <f>SUM('Step 1 Dedicated Funds'!O19:T19)</f>
        <v>3115689.2800000003</v>
      </c>
      <c r="R19" s="40">
        <f t="shared" si="1"/>
        <v>9229525.9714065306</v>
      </c>
      <c r="S19" s="162"/>
      <c r="T19" s="40">
        <v>9423979</v>
      </c>
    </row>
    <row r="20" spans="1:20">
      <c r="A20" s="49" t="s">
        <v>76</v>
      </c>
      <c r="B20" s="44">
        <f>'Step 3 Acad Product &amp; Pools'!B20</f>
        <v>0</v>
      </c>
      <c r="C20" s="44"/>
      <c r="D20" s="44"/>
      <c r="E20" s="44">
        <f>'Step 3 Acad Product &amp; Pools'!E20</f>
        <v>0</v>
      </c>
      <c r="F20" s="44"/>
      <c r="G20" s="44">
        <f>'Step 3 Acad Product &amp; Pools'!G20</f>
        <v>0</v>
      </c>
      <c r="H20" s="44">
        <f>'Step 3 Acad Product &amp; Pools'!H20</f>
        <v>0</v>
      </c>
      <c r="I20" s="44">
        <f>'Step 3 Acad Product &amp; Pools'!I20</f>
        <v>0</v>
      </c>
      <c r="J20" s="44">
        <f>'Step 3 Acad Product &amp; Pools'!J20</f>
        <v>0</v>
      </c>
      <c r="K20" s="44"/>
      <c r="L20" s="373">
        <f>SUM('Step 3 Acad Product &amp; Pools'!L20:Q20)</f>
        <v>16384842.476953281</v>
      </c>
      <c r="M20" s="373"/>
      <c r="N20" s="44"/>
      <c r="O20" s="373">
        <f>'Step 1 Dedicated Funds'!N20</f>
        <v>-102703.046</v>
      </c>
      <c r="P20" s="373">
        <f>SUM('Step 1 Dedicated Funds'!O20:T20)</f>
        <v>2532465.1984000001</v>
      </c>
      <c r="R20" s="44">
        <f t="shared" si="1"/>
        <v>18814604.629353281</v>
      </c>
      <c r="S20" s="162"/>
      <c r="T20" s="44">
        <v>20386034</v>
      </c>
    </row>
    <row r="21" spans="1:20">
      <c r="A21" s="172" t="s">
        <v>77</v>
      </c>
      <c r="B21" s="44">
        <f>'Step 3 Acad Product &amp; Pools'!B21</f>
        <v>0</v>
      </c>
      <c r="C21" s="44"/>
      <c r="D21" s="44"/>
      <c r="E21" s="44">
        <f>'Step 3 Acad Product &amp; Pools'!E21</f>
        <v>245900</v>
      </c>
      <c r="F21" s="44"/>
      <c r="G21" s="44">
        <f>'Step 3 Acad Product &amp; Pools'!G21</f>
        <v>0</v>
      </c>
      <c r="H21" s="44">
        <f>'Step 3 Acad Product &amp; Pools'!H21</f>
        <v>0</v>
      </c>
      <c r="I21" s="44">
        <f>'Step 3 Acad Product &amp; Pools'!I21</f>
        <v>0</v>
      </c>
      <c r="J21" s="44">
        <f>'Step 3 Acad Product &amp; Pools'!J21</f>
        <v>0</v>
      </c>
      <c r="K21" s="44"/>
      <c r="L21" s="373">
        <f>SUM('Step 3 Acad Product &amp; Pools'!L21:Q21)</f>
        <v>5203260.0972967809</v>
      </c>
      <c r="M21" s="373"/>
      <c r="N21" s="44"/>
      <c r="O21" s="373">
        <f>'Step 1 Dedicated Funds'!N21</f>
        <v>-7400</v>
      </c>
      <c r="P21" s="373">
        <f>SUM('Step 1 Dedicated Funds'!O21:T21)</f>
        <v>120000</v>
      </c>
      <c r="R21" s="44">
        <f t="shared" si="1"/>
        <v>5561760.0972967809</v>
      </c>
      <c r="S21" s="162"/>
      <c r="T21" s="44">
        <v>5442006</v>
      </c>
    </row>
    <row r="22" spans="1:20">
      <c r="A22" s="173" t="s">
        <v>78</v>
      </c>
      <c r="B22" s="40">
        <f>'Step 3 Acad Product &amp; Pools'!B22</f>
        <v>0</v>
      </c>
      <c r="C22" s="40"/>
      <c r="D22" s="40"/>
      <c r="E22" s="40">
        <f>'Step 3 Acad Product &amp; Pools'!E22</f>
        <v>0</v>
      </c>
      <c r="F22" s="40"/>
      <c r="G22" s="40">
        <f>'Step 3 Acad Product &amp; Pools'!G22</f>
        <v>0</v>
      </c>
      <c r="H22" s="40">
        <f>'Step 3 Acad Product &amp; Pools'!H22</f>
        <v>0</v>
      </c>
      <c r="I22" s="40">
        <f>'Step 3 Acad Product &amp; Pools'!I22</f>
        <v>0</v>
      </c>
      <c r="J22" s="40">
        <f>'Step 3 Acad Product &amp; Pools'!J22</f>
        <v>0</v>
      </c>
      <c r="K22" s="40"/>
      <c r="L22" s="372">
        <f>SUM('Step 3 Acad Product &amp; Pools'!L22:Q22)</f>
        <v>43078927.073671438</v>
      </c>
      <c r="M22" s="372"/>
      <c r="N22" s="44"/>
      <c r="O22" s="372">
        <f>'Step 1 Dedicated Funds'!N22</f>
        <v>-128220.466</v>
      </c>
      <c r="P22" s="372">
        <f>SUM('Step 1 Dedicated Funds'!O22:T22)</f>
        <v>1812709</v>
      </c>
      <c r="R22" s="40">
        <f t="shared" si="1"/>
        <v>44763415.60767144</v>
      </c>
      <c r="S22" s="162"/>
      <c r="T22" s="40">
        <v>44094814</v>
      </c>
    </row>
    <row r="23" spans="1:20">
      <c r="A23" s="172" t="s">
        <v>79</v>
      </c>
      <c r="B23" s="44">
        <f>'Step 3 Acad Product &amp; Pools'!B23</f>
        <v>0</v>
      </c>
      <c r="C23" s="44"/>
      <c r="D23" s="44"/>
      <c r="E23" s="44">
        <f>'Step 3 Acad Product &amp; Pools'!E23</f>
        <v>2557360</v>
      </c>
      <c r="F23" s="44"/>
      <c r="G23" s="44">
        <f>'Step 3 Acad Product &amp; Pools'!G23</f>
        <v>0</v>
      </c>
      <c r="H23" s="44">
        <f>'Step 3 Acad Product &amp; Pools'!H23</f>
        <v>0</v>
      </c>
      <c r="I23" s="44">
        <f>'Step 3 Acad Product &amp; Pools'!I23</f>
        <v>0</v>
      </c>
      <c r="J23" s="44">
        <f>'Step 3 Acad Product &amp; Pools'!J23</f>
        <v>0</v>
      </c>
      <c r="K23" s="44"/>
      <c r="L23" s="373">
        <f>SUM('Step 3 Acad Product &amp; Pools'!L23:Q23)</f>
        <v>8417663.6895338055</v>
      </c>
      <c r="M23" s="373"/>
      <c r="N23" s="44"/>
      <c r="O23" s="373">
        <f>'Step 1 Dedicated Funds'!N23</f>
        <v>41103.077999999994</v>
      </c>
      <c r="P23" s="373">
        <f>SUM('Step 1 Dedicated Funds'!O23:T23)</f>
        <v>6444553</v>
      </c>
      <c r="R23" s="44">
        <f t="shared" si="1"/>
        <v>17460679.767533805</v>
      </c>
      <c r="S23" s="162"/>
      <c r="T23" s="44">
        <v>18750980</v>
      </c>
    </row>
    <row r="24" spans="1:20">
      <c r="A24" s="172" t="s">
        <v>80</v>
      </c>
      <c r="B24" s="50">
        <f>'Step 3 Acad Product &amp; Pools'!B24</f>
        <v>0</v>
      </c>
      <c r="C24" s="50"/>
      <c r="D24" s="50"/>
      <c r="E24" s="50">
        <f>'Step 3 Acad Product &amp; Pools'!E24</f>
        <v>2881948</v>
      </c>
      <c r="F24" s="50"/>
      <c r="G24" s="50">
        <f>'Step 3 Acad Product &amp; Pools'!G24</f>
        <v>0</v>
      </c>
      <c r="H24" s="50">
        <f>'Step 3 Acad Product &amp; Pools'!H24</f>
        <v>0</v>
      </c>
      <c r="I24" s="50">
        <f>'Step 3 Acad Product &amp; Pools'!I24</f>
        <v>0</v>
      </c>
      <c r="J24" s="50">
        <f>'Step 3 Acad Product &amp; Pools'!J24</f>
        <v>0</v>
      </c>
      <c r="K24" s="50"/>
      <c r="L24" s="374">
        <f>SUM('Step 3 Acad Product &amp; Pools'!L24:Q24)</f>
        <v>3942909.4588813232</v>
      </c>
      <c r="M24" s="374"/>
      <c r="N24" s="50"/>
      <c r="O24" s="374">
        <f>'Step 1 Dedicated Funds'!N24</f>
        <v>-113642.39199999999</v>
      </c>
      <c r="P24" s="374">
        <f>SUM('Step 1 Dedicated Funds'!O24:T24)</f>
        <v>5926242.0006117597</v>
      </c>
      <c r="R24" s="50">
        <f t="shared" si="1"/>
        <v>12637457.067493083</v>
      </c>
      <c r="S24" s="162"/>
      <c r="T24" s="50">
        <v>12570093</v>
      </c>
    </row>
    <row r="25" spans="1:20">
      <c r="A25" s="173" t="s">
        <v>81</v>
      </c>
      <c r="B25" s="40">
        <f>'Step 3 Acad Product &amp; Pools'!B25</f>
        <v>0</v>
      </c>
      <c r="C25" s="40"/>
      <c r="D25" s="40"/>
      <c r="E25" s="40">
        <f>'Step 3 Acad Product &amp; Pools'!E25</f>
        <v>0</v>
      </c>
      <c r="F25" s="40"/>
      <c r="G25" s="40">
        <f>'Step 3 Acad Product &amp; Pools'!G25</f>
        <v>0</v>
      </c>
      <c r="H25" s="40">
        <f>'Step 3 Acad Product &amp; Pools'!H25</f>
        <v>0</v>
      </c>
      <c r="I25" s="40">
        <f>'Step 3 Acad Product &amp; Pools'!I25</f>
        <v>0</v>
      </c>
      <c r="J25" s="40">
        <f>'Step 3 Acad Product &amp; Pools'!J25</f>
        <v>0</v>
      </c>
      <c r="K25" s="40"/>
      <c r="L25" s="372">
        <f>SUM('Step 3 Acad Product &amp; Pools'!L25:Q25)</f>
        <v>40370323.774424858</v>
      </c>
      <c r="M25" s="372"/>
      <c r="N25" s="44"/>
      <c r="O25" s="372">
        <f>'Step 1 Dedicated Funds'!N25</f>
        <v>-118488.57799999999</v>
      </c>
      <c r="P25" s="372">
        <f>SUM('Step 1 Dedicated Funds'!O25:T25)</f>
        <v>2401197</v>
      </c>
      <c r="R25" s="40">
        <f t="shared" si="1"/>
        <v>42653032.196424857</v>
      </c>
      <c r="S25" s="162"/>
      <c r="T25" s="40">
        <v>43664480</v>
      </c>
    </row>
    <row r="26" spans="1:20">
      <c r="A26" s="172" t="s">
        <v>82</v>
      </c>
      <c r="B26" s="50">
        <f>'Step 3 Acad Product &amp; Pools'!B26</f>
        <v>0</v>
      </c>
      <c r="C26" s="50"/>
      <c r="D26" s="50"/>
      <c r="E26" s="50">
        <f>'Step 3 Acad Product &amp; Pools'!E26</f>
        <v>7091756</v>
      </c>
      <c r="F26" s="50"/>
      <c r="G26" s="50">
        <f>'Step 3 Acad Product &amp; Pools'!G26</f>
        <v>0</v>
      </c>
      <c r="H26" s="50">
        <f>'Step 3 Acad Product &amp; Pools'!H26</f>
        <v>0</v>
      </c>
      <c r="I26" s="50">
        <f>'Step 3 Acad Product &amp; Pools'!I26</f>
        <v>0</v>
      </c>
      <c r="J26" s="50">
        <f>'Step 3 Acad Product &amp; Pools'!J26</f>
        <v>0</v>
      </c>
      <c r="K26" s="50"/>
      <c r="L26" s="374">
        <f>SUM('Step 3 Acad Product &amp; Pools'!L26:Q26)</f>
        <v>2871875.9978878237</v>
      </c>
      <c r="M26" s="374"/>
      <c r="N26" s="50"/>
      <c r="O26" s="374">
        <f>'Step 1 Dedicated Funds'!N26</f>
        <v>-1077566.7620000001</v>
      </c>
      <c r="P26" s="374">
        <f>SUM('Step 1 Dedicated Funds'!O26:T26)</f>
        <v>18351078.989631999</v>
      </c>
      <c r="R26" s="50">
        <f t="shared" si="1"/>
        <v>27237144.225519821</v>
      </c>
      <c r="S26" s="162"/>
      <c r="T26" s="50">
        <v>26260862</v>
      </c>
    </row>
    <row r="27" spans="1:20">
      <c r="A27" s="172" t="s">
        <v>83</v>
      </c>
      <c r="B27" s="44">
        <f>'Step 3 Acad Product &amp; Pools'!B27</f>
        <v>0</v>
      </c>
      <c r="C27" s="44"/>
      <c r="D27" s="44"/>
      <c r="E27" s="44">
        <f>'Step 3 Acad Product &amp; Pools'!E27</f>
        <v>0</v>
      </c>
      <c r="F27" s="44"/>
      <c r="G27" s="44">
        <f>'Step 3 Acad Product &amp; Pools'!G27</f>
        <v>0</v>
      </c>
      <c r="H27" s="44">
        <f>'Step 3 Acad Product &amp; Pools'!H27</f>
        <v>0</v>
      </c>
      <c r="I27" s="44">
        <f>'Step 3 Acad Product &amp; Pools'!I27</f>
        <v>0</v>
      </c>
      <c r="J27" s="44">
        <f>'Step 3 Acad Product &amp; Pools'!J27</f>
        <v>0</v>
      </c>
      <c r="K27" s="44"/>
      <c r="L27" s="373">
        <f>SUM('Step 3 Acad Product &amp; Pools'!L27:Q27)</f>
        <v>0</v>
      </c>
      <c r="M27" s="373"/>
      <c r="N27" s="44"/>
      <c r="O27" s="373">
        <f>'Step 1 Dedicated Funds'!N27</f>
        <v>0</v>
      </c>
      <c r="P27" s="373">
        <f>SUM('Step 1 Dedicated Funds'!O27:T27)</f>
        <v>0</v>
      </c>
      <c r="R27" s="44">
        <f t="shared" si="1"/>
        <v>0</v>
      </c>
      <c r="S27" s="162"/>
      <c r="T27" s="44">
        <v>0</v>
      </c>
    </row>
    <row r="28" spans="1:20">
      <c r="A28" s="173" t="s">
        <v>84</v>
      </c>
      <c r="B28" s="40">
        <f>'Step 3 Acad Product &amp; Pools'!B28</f>
        <v>0</v>
      </c>
      <c r="C28" s="40"/>
      <c r="D28" s="40"/>
      <c r="E28" s="40">
        <f>'Step 3 Acad Product &amp; Pools'!E28</f>
        <v>230000</v>
      </c>
      <c r="F28" s="40"/>
      <c r="G28" s="40">
        <f>'Step 3 Acad Product &amp; Pools'!G28</f>
        <v>0</v>
      </c>
      <c r="H28" s="40">
        <f>'Step 3 Acad Product &amp; Pools'!H28</f>
        <v>0</v>
      </c>
      <c r="I28" s="40">
        <f>'Step 3 Acad Product &amp; Pools'!I28</f>
        <v>0</v>
      </c>
      <c r="J28" s="40">
        <f>'Step 3 Acad Product &amp; Pools'!J28</f>
        <v>0</v>
      </c>
      <c r="K28" s="40"/>
      <c r="L28" s="372">
        <f>SUM('Step 3 Acad Product &amp; Pools'!L28:Q28)</f>
        <v>841966.8793919452</v>
      </c>
      <c r="M28" s="372"/>
      <c r="N28" s="44"/>
      <c r="O28" s="372">
        <f>'Step 1 Dedicated Funds'!N28</f>
        <v>-22200</v>
      </c>
      <c r="P28" s="372">
        <f>SUM('Step 1 Dedicated Funds'!O28:T28)</f>
        <v>2010259.38</v>
      </c>
      <c r="R28" s="40">
        <f t="shared" si="1"/>
        <v>3060026.2593919449</v>
      </c>
      <c r="S28" s="162"/>
      <c r="T28" s="40">
        <v>2999580</v>
      </c>
    </row>
    <row r="29" spans="1:20">
      <c r="A29" s="49" t="s">
        <v>86</v>
      </c>
      <c r="B29" s="50">
        <f>'Step 3 Acad Product &amp; Pools'!B29</f>
        <v>0</v>
      </c>
      <c r="C29" s="50"/>
      <c r="D29" s="50"/>
      <c r="E29" s="50">
        <f>'Step 3 Acad Product &amp; Pools'!E29</f>
        <v>0</v>
      </c>
      <c r="F29" s="50"/>
      <c r="G29" s="50">
        <f>'Step 3 Acad Product &amp; Pools'!G29</f>
        <v>0</v>
      </c>
      <c r="H29" s="50">
        <f>'Step 3 Acad Product &amp; Pools'!H29</f>
        <v>0</v>
      </c>
      <c r="I29" s="50">
        <f>'Step 3 Acad Product &amp; Pools'!I29</f>
        <v>0</v>
      </c>
      <c r="J29" s="50">
        <f>'Step 3 Acad Product &amp; Pools'!J29</f>
        <v>0</v>
      </c>
      <c r="K29" s="50"/>
      <c r="L29" s="50">
        <f>SUM('Step 3 Acad Product &amp; Pools'!L29:Q29)</f>
        <v>0</v>
      </c>
      <c r="M29" s="50"/>
      <c r="N29" s="50"/>
      <c r="O29" s="50">
        <f>'Step 1 Dedicated Funds'!N29</f>
        <v>0</v>
      </c>
      <c r="P29" s="50">
        <f>SUM('Step 1 Dedicated Funds'!O29:T29)</f>
        <v>21222276</v>
      </c>
      <c r="Q29" s="42"/>
      <c r="R29" s="50">
        <f t="shared" si="1"/>
        <v>21222276</v>
      </c>
      <c r="S29" s="162"/>
      <c r="T29" s="50">
        <v>19821377</v>
      </c>
    </row>
    <row r="30" spans="1:20">
      <c r="A30" s="172" t="s">
        <v>87</v>
      </c>
      <c r="B30" s="44">
        <f>'Step 3 Acad Product &amp; Pools'!B30</f>
        <v>0</v>
      </c>
      <c r="C30" s="44"/>
      <c r="D30" s="44"/>
      <c r="E30" s="44">
        <f>'Step 3 Acad Product &amp; Pools'!E30</f>
        <v>0</v>
      </c>
      <c r="F30" s="44"/>
      <c r="G30" s="44">
        <f>'Step 3 Acad Product &amp; Pools'!G30</f>
        <v>0</v>
      </c>
      <c r="H30" s="44">
        <f>'Step 3 Acad Product &amp; Pools'!H30</f>
        <v>0</v>
      </c>
      <c r="I30" s="44">
        <f>'Step 3 Acad Product &amp; Pools'!I30</f>
        <v>0</v>
      </c>
      <c r="J30" s="44">
        <f>'Step 3 Acad Product &amp; Pools'!J30</f>
        <v>0</v>
      </c>
      <c r="K30" s="44"/>
      <c r="L30" s="44">
        <f>SUM('Step 3 Acad Product &amp; Pools'!L30:Q30)</f>
        <v>0</v>
      </c>
      <c r="M30" s="44"/>
      <c r="N30" s="44"/>
      <c r="O30" s="44">
        <f>'Step 1 Dedicated Funds'!N30</f>
        <v>0</v>
      </c>
      <c r="P30" s="44">
        <f>SUM('Step 1 Dedicated Funds'!O30:T30)</f>
        <v>5263200</v>
      </c>
      <c r="Q30" s="42"/>
      <c r="R30" s="44">
        <f t="shared" si="1"/>
        <v>5263200</v>
      </c>
      <c r="S30" s="162"/>
      <c r="T30" s="44">
        <v>3440000</v>
      </c>
    </row>
    <row r="31" spans="1:20">
      <c r="A31" s="359" t="s">
        <v>452</v>
      </c>
      <c r="B31" s="221">
        <f>'Step 3 Acad Product &amp; Pools'!B31</f>
        <v>0</v>
      </c>
      <c r="C31" s="221"/>
      <c r="D31" s="221"/>
      <c r="E31" s="221">
        <f>'Step 3 Acad Product &amp; Pools'!E31</f>
        <v>0</v>
      </c>
      <c r="F31" s="221"/>
      <c r="G31" s="221">
        <f>'Step 3 Acad Product &amp; Pools'!G31</f>
        <v>0</v>
      </c>
      <c r="H31" s="221">
        <f>'Step 3 Acad Product &amp; Pools'!H31</f>
        <v>0</v>
      </c>
      <c r="I31" s="221">
        <f>'Step 3 Acad Product &amp; Pools'!I31</f>
        <v>0</v>
      </c>
      <c r="J31" s="221">
        <f>'Step 3 Acad Product &amp; Pools'!J31</f>
        <v>0</v>
      </c>
      <c r="K31" s="221"/>
      <c r="L31" s="221">
        <f>SUM('Step 3 Acad Product &amp; Pools'!L31:Q31)</f>
        <v>0</v>
      </c>
      <c r="M31" s="221"/>
      <c r="N31" s="44"/>
      <c r="O31" s="221">
        <f>'Step 1 Dedicated Funds'!N31</f>
        <v>0</v>
      </c>
      <c r="P31" s="221">
        <f>SUM('Step 1 Dedicated Funds'!O31:T31)</f>
        <v>0</v>
      </c>
      <c r="Q31" s="42"/>
      <c r="R31" s="221">
        <f t="shared" si="1"/>
        <v>0</v>
      </c>
      <c r="S31" s="162"/>
      <c r="T31" s="221">
        <v>816537</v>
      </c>
    </row>
    <row r="32" spans="1:20">
      <c r="A32" s="358" t="s">
        <v>453</v>
      </c>
      <c r="B32" s="50">
        <f>'Step 3 Acad Product &amp; Pools'!B32</f>
        <v>0</v>
      </c>
      <c r="C32" s="50"/>
      <c r="D32" s="50"/>
      <c r="E32" s="50">
        <f>'Step 3 Acad Product &amp; Pools'!E32</f>
        <v>0</v>
      </c>
      <c r="F32" s="50"/>
      <c r="G32" s="50">
        <f>'Step 3 Acad Product &amp; Pools'!G32</f>
        <v>0</v>
      </c>
      <c r="H32" s="50">
        <f>'Step 3 Acad Product &amp; Pools'!H32</f>
        <v>0</v>
      </c>
      <c r="I32" s="50">
        <f>'Step 3 Acad Product &amp; Pools'!I32</f>
        <v>0</v>
      </c>
      <c r="J32" s="50">
        <f>'Step 3 Acad Product &amp; Pools'!J32</f>
        <v>0</v>
      </c>
      <c r="K32" s="50"/>
      <c r="L32" s="50">
        <f>SUM('Step 3 Acad Product &amp; Pools'!L32:Q32)</f>
        <v>1155412.306081536</v>
      </c>
      <c r="M32" s="50"/>
      <c r="N32" s="50"/>
      <c r="O32" s="50">
        <f>'Step 1 Dedicated Funds'!N32</f>
        <v>0</v>
      </c>
      <c r="P32" s="50">
        <f>SUM('Step 1 Dedicated Funds'!O32:T32)</f>
        <v>0</v>
      </c>
      <c r="Q32" s="42"/>
      <c r="R32" s="50">
        <f t="shared" si="1"/>
        <v>1155412.306081536</v>
      </c>
      <c r="S32" s="162"/>
      <c r="T32" s="50">
        <v>957607</v>
      </c>
    </row>
    <row r="33" spans="1:20">
      <c r="A33" s="172" t="s">
        <v>88</v>
      </c>
      <c r="B33" s="44">
        <f>'Step 3 Acad Product &amp; Pools'!B33</f>
        <v>0</v>
      </c>
      <c r="C33" s="44"/>
      <c r="D33" s="44"/>
      <c r="E33" s="44">
        <f>'Step 3 Acad Product &amp; Pools'!E33</f>
        <v>0</v>
      </c>
      <c r="F33" s="44"/>
      <c r="G33" s="44">
        <f>'Step 3 Acad Product &amp; Pools'!G33</f>
        <v>0</v>
      </c>
      <c r="H33" s="44">
        <f>'Step 3 Acad Product &amp; Pools'!H33</f>
        <v>0</v>
      </c>
      <c r="I33" s="44">
        <f>'Step 3 Acad Product &amp; Pools'!I33</f>
        <v>0</v>
      </c>
      <c r="J33" s="44">
        <f>'Step 3 Acad Product &amp; Pools'!J33</f>
        <v>0</v>
      </c>
      <c r="K33" s="44"/>
      <c r="L33" s="44">
        <f>SUM('Step 3 Acad Product &amp; Pools'!L33:Q33)</f>
        <v>1809.122006452656</v>
      </c>
      <c r="M33" s="44"/>
      <c r="N33" s="44"/>
      <c r="O33" s="44">
        <f>'Step 1 Dedicated Funds'!N33</f>
        <v>-19667.72</v>
      </c>
      <c r="P33" s="44">
        <f>SUM('Step 1 Dedicated Funds'!O33:T33)</f>
        <v>2897380</v>
      </c>
      <c r="Q33" s="42"/>
      <c r="R33" s="44">
        <f t="shared" si="1"/>
        <v>2879521.4020064524</v>
      </c>
      <c r="S33" s="162"/>
      <c r="T33" s="44">
        <v>14975151</v>
      </c>
    </row>
    <row r="34" spans="1:20">
      <c r="A34" s="359" t="s">
        <v>89</v>
      </c>
      <c r="B34" s="221">
        <f>'Step 3 Acad Product &amp; Pools'!B34</f>
        <v>0</v>
      </c>
      <c r="C34" s="44"/>
      <c r="D34" s="44"/>
      <c r="E34" s="221">
        <f>'Step 3 Acad Product &amp; Pools'!E34</f>
        <v>8262240</v>
      </c>
      <c r="F34" s="221"/>
      <c r="G34" s="221">
        <f>'Step 3 Acad Product &amp; Pools'!G34</f>
        <v>0</v>
      </c>
      <c r="H34" s="221">
        <f>'Step 3 Acad Product &amp; Pools'!H34</f>
        <v>0</v>
      </c>
      <c r="I34" s="221">
        <f>'Step 3 Acad Product &amp; Pools'!I34</f>
        <v>0</v>
      </c>
      <c r="J34" s="221">
        <f>'Step 3 Acad Product &amp; Pools'!J34</f>
        <v>0</v>
      </c>
      <c r="K34" s="221"/>
      <c r="L34" s="375">
        <f>SUM('Step 3 Acad Product &amp; Pools'!L34:Q34)</f>
        <v>829840.57305342832</v>
      </c>
      <c r="M34" s="375"/>
      <c r="N34" s="44"/>
      <c r="O34" s="375">
        <f>'Step 1 Dedicated Funds'!N34</f>
        <v>-102890.19200000001</v>
      </c>
      <c r="P34" s="375">
        <f>SUM('Step 1 Dedicated Funds'!O34:T34)</f>
        <v>2080908</v>
      </c>
      <c r="Q34" s="42"/>
      <c r="R34" s="221">
        <f t="shared" si="1"/>
        <v>11070098.381053429</v>
      </c>
      <c r="S34" s="162"/>
      <c r="T34" s="221">
        <v>11507823</v>
      </c>
    </row>
    <row r="35" spans="1:20">
      <c r="A35" s="362" t="s">
        <v>90</v>
      </c>
      <c r="B35" s="363">
        <f>SUM(B16:B34)</f>
        <v>0</v>
      </c>
      <c r="C35" s="790">
        <f>SUM(C16:C34)</f>
        <v>0</v>
      </c>
      <c r="D35" s="790"/>
      <c r="E35" s="363">
        <f>SUM(E16:E34)</f>
        <v>22006904</v>
      </c>
      <c r="F35" s="363"/>
      <c r="G35" s="363">
        <f>SUM(G16:G34)</f>
        <v>0</v>
      </c>
      <c r="H35" s="363">
        <f>SUM(H16:H34)</f>
        <v>0</v>
      </c>
      <c r="I35" s="363">
        <f>SUM(I16:I34)</f>
        <v>0</v>
      </c>
      <c r="J35" s="363">
        <f>SUM(J16:J34)</f>
        <v>0</v>
      </c>
      <c r="K35" s="363"/>
      <c r="L35" s="363">
        <f>SUM(L16:L34)</f>
        <v>218544124.19140771</v>
      </c>
      <c r="M35" s="363">
        <f>SUM(M16:M34)</f>
        <v>0</v>
      </c>
      <c r="N35" s="363"/>
      <c r="O35" s="363">
        <f>SUM(O16:O34)</f>
        <v>-2644029.9160000002</v>
      </c>
      <c r="P35" s="363">
        <f>SUM(P16:P34)</f>
        <v>101576114.16776375</v>
      </c>
      <c r="Q35" s="42"/>
      <c r="R35" s="363">
        <f>SUM(R16:R34)</f>
        <v>339483112.44317156</v>
      </c>
      <c r="S35" s="162"/>
      <c r="T35" s="1825">
        <f>SUM(T16:T34)</f>
        <v>347579114</v>
      </c>
    </row>
    <row r="36" spans="1:20">
      <c r="A36" s="172"/>
      <c r="B36" s="42"/>
      <c r="C36" s="44"/>
      <c r="D36" s="44"/>
      <c r="E36" s="42"/>
      <c r="F36" s="42"/>
      <c r="G36" s="42"/>
      <c r="H36" s="42"/>
      <c r="I36" s="42"/>
      <c r="J36" s="42"/>
      <c r="K36" s="42"/>
      <c r="L36" s="42"/>
      <c r="M36" s="42"/>
      <c r="N36" s="42"/>
      <c r="O36" s="42"/>
      <c r="P36" s="42"/>
      <c r="Q36" s="42"/>
      <c r="R36" s="42"/>
      <c r="S36" s="162"/>
      <c r="T36" s="42"/>
    </row>
    <row r="37" spans="1:20">
      <c r="A37" s="162"/>
      <c r="C37" s="44"/>
      <c r="D37" s="44"/>
      <c r="N37" s="42"/>
      <c r="Q37" s="42"/>
      <c r="S37" s="167"/>
    </row>
    <row r="38" spans="1:20">
      <c r="A38" s="49" t="s">
        <v>91</v>
      </c>
      <c r="B38" s="50"/>
      <c r="C38" s="50"/>
      <c r="D38" s="50"/>
      <c r="E38" s="50"/>
      <c r="F38" s="50"/>
      <c r="G38" s="50"/>
      <c r="H38" s="50"/>
      <c r="I38" s="50"/>
      <c r="J38" s="50"/>
      <c r="K38" s="50"/>
      <c r="L38" s="50"/>
      <c r="M38" s="50"/>
      <c r="N38" s="50"/>
      <c r="O38" s="50"/>
      <c r="P38" s="50"/>
      <c r="Q38" s="42"/>
      <c r="R38" s="50"/>
      <c r="S38" s="162"/>
      <c r="T38" s="50"/>
    </row>
    <row r="39" spans="1:20">
      <c r="A39" s="173" t="s">
        <v>92</v>
      </c>
      <c r="B39" s="40">
        <f>'Step 3 Acad Product &amp; Pools'!B39</f>
        <v>0</v>
      </c>
      <c r="C39" s="40"/>
      <c r="D39" s="40"/>
      <c r="E39" s="176"/>
      <c r="F39" s="176"/>
      <c r="G39" s="176">
        <f>'Step 3 Acad Product &amp; Pools'!G39</f>
        <v>0</v>
      </c>
      <c r="H39" s="176">
        <f>'Step 3 Acad Product &amp; Pools'!H39</f>
        <v>0</v>
      </c>
      <c r="I39" s="176">
        <f>'Step 3 Acad Product &amp; Pools'!I39</f>
        <v>0</v>
      </c>
      <c r="J39" s="176">
        <f>'Step 3 Acad Product &amp; Pools'!J39</f>
        <v>0</v>
      </c>
      <c r="K39" s="176"/>
      <c r="L39" s="176">
        <f>SUM('Step 3 Acad Product &amp; Pools'!L39:Q39)</f>
        <v>7.3258350761008657</v>
      </c>
      <c r="M39" s="176"/>
      <c r="N39" s="44"/>
      <c r="O39" s="176">
        <f>'Step 3 Acad Product &amp; Pools'!T39</f>
        <v>0</v>
      </c>
      <c r="P39" s="176">
        <f>'Step 3 Acad Product &amp; Pools'!U39</f>
        <v>0</v>
      </c>
      <c r="Q39" s="42"/>
      <c r="R39" s="40">
        <f t="shared" ref="R39:R57" si="2">SUM(B39:P39)</f>
        <v>7.3258350761008657</v>
      </c>
      <c r="S39" s="162"/>
      <c r="T39" s="40">
        <v>8919523</v>
      </c>
    </row>
    <row r="40" spans="1:20">
      <c r="A40" s="358" t="s">
        <v>336</v>
      </c>
      <c r="B40" s="50"/>
      <c r="C40" s="50"/>
      <c r="D40" s="50"/>
      <c r="E40" s="50"/>
      <c r="F40" s="50"/>
      <c r="G40" s="50"/>
      <c r="H40" s="50"/>
      <c r="I40" s="50"/>
      <c r="J40" s="50"/>
      <c r="K40" s="50"/>
      <c r="L40" s="50"/>
      <c r="M40" s="50"/>
      <c r="N40" s="50"/>
      <c r="O40" s="50"/>
      <c r="P40" s="50"/>
      <c r="Q40" s="42"/>
      <c r="R40" s="50"/>
      <c r="S40" s="162"/>
      <c r="T40" s="50">
        <v>7177760</v>
      </c>
    </row>
    <row r="41" spans="1:20">
      <c r="A41" s="172" t="s">
        <v>93</v>
      </c>
      <c r="B41" s="50">
        <f>'Step 3 Acad Product &amp; Pools'!B41</f>
        <v>0</v>
      </c>
      <c r="C41" s="50"/>
      <c r="D41" s="50"/>
      <c r="E41" s="50"/>
      <c r="F41" s="50"/>
      <c r="G41" s="50">
        <f>'Step 3 Acad Product &amp; Pools'!G41</f>
        <v>0</v>
      </c>
      <c r="H41" s="50">
        <f>'Step 3 Acad Product &amp; Pools'!H41</f>
        <v>0</v>
      </c>
      <c r="I41" s="50">
        <f>'Step 3 Acad Product &amp; Pools'!I41</f>
        <v>0</v>
      </c>
      <c r="J41" s="50">
        <f>'Step 3 Acad Product &amp; Pools'!J41</f>
        <v>0</v>
      </c>
      <c r="K41" s="50"/>
      <c r="L41" s="50">
        <f>SUM('Step 3 Acad Product &amp; Pools'!L41:Q41)</f>
        <v>0</v>
      </c>
      <c r="M41" s="50"/>
      <c r="N41" s="50"/>
      <c r="O41" s="50">
        <f>'Step 3 Acad Product &amp; Pools'!T41</f>
        <v>-666</v>
      </c>
      <c r="P41" s="50">
        <f>'Step 3 Acad Product &amp; Pools'!U41</f>
        <v>9000</v>
      </c>
      <c r="Q41" s="42"/>
      <c r="R41" s="50">
        <f t="shared" si="2"/>
        <v>8334</v>
      </c>
      <c r="S41" s="162"/>
      <c r="T41" s="50">
        <v>4081953</v>
      </c>
    </row>
    <row r="42" spans="1:20">
      <c r="A42" s="49" t="s">
        <v>94</v>
      </c>
      <c r="B42" s="50">
        <f>'Step 3 Acad Product &amp; Pools'!B42</f>
        <v>0</v>
      </c>
      <c r="C42" s="50"/>
      <c r="D42" s="50"/>
      <c r="E42" s="178"/>
      <c r="F42" s="178"/>
      <c r="G42" s="178">
        <f>'Step 3 Acad Product &amp; Pools'!G42</f>
        <v>0</v>
      </c>
      <c r="H42" s="178">
        <f>'Step 3 Acad Product &amp; Pools'!H42</f>
        <v>0</v>
      </c>
      <c r="I42" s="178">
        <f>'Step 3 Acad Product &amp; Pools'!I42</f>
        <v>0</v>
      </c>
      <c r="J42" s="178">
        <f>'Step 3 Acad Product &amp; Pools'!J42</f>
        <v>0</v>
      </c>
      <c r="K42" s="178"/>
      <c r="L42" s="178">
        <f>SUM('Step 3 Acad Product &amp; Pools'!L42:Q42)</f>
        <v>0</v>
      </c>
      <c r="M42" s="178"/>
      <c r="N42" s="50"/>
      <c r="O42" s="178">
        <f>'Step 3 Acad Product &amp; Pools'!T42</f>
        <v>0</v>
      </c>
      <c r="P42" s="178">
        <f>'Step 3 Acad Product &amp; Pools'!U42</f>
        <v>0</v>
      </c>
      <c r="Q42" s="42"/>
      <c r="R42" s="50">
        <f t="shared" si="2"/>
        <v>0</v>
      </c>
      <c r="S42" s="162"/>
      <c r="T42" s="50">
        <v>1512825</v>
      </c>
    </row>
    <row r="43" spans="1:20">
      <c r="A43" s="173" t="s">
        <v>95</v>
      </c>
      <c r="B43" s="40">
        <f>'Step 3 Acad Product &amp; Pools'!B43</f>
        <v>0</v>
      </c>
      <c r="C43" s="40"/>
      <c r="D43" s="40"/>
      <c r="E43" s="176"/>
      <c r="F43" s="176"/>
      <c r="G43" s="176">
        <f>'Step 3 Acad Product &amp; Pools'!G43</f>
        <v>0</v>
      </c>
      <c r="H43" s="176">
        <f>'Step 3 Acad Product &amp; Pools'!H43</f>
        <v>0</v>
      </c>
      <c r="I43" s="176">
        <f>'Step 3 Acad Product &amp; Pools'!I43</f>
        <v>0</v>
      </c>
      <c r="J43" s="176">
        <f>'Step 3 Acad Product &amp; Pools'!J43</f>
        <v>0</v>
      </c>
      <c r="K43" s="176"/>
      <c r="L43" s="176">
        <f>SUM('Step 3 Acad Product &amp; Pools'!L43:Q43)</f>
        <v>0</v>
      </c>
      <c r="M43" s="176"/>
      <c r="N43" s="44"/>
      <c r="O43" s="176">
        <f>'Step 3 Acad Product &amp; Pools'!T43</f>
        <v>0</v>
      </c>
      <c r="P43" s="176">
        <f>'Step 3 Acad Product &amp; Pools'!U43</f>
        <v>0</v>
      </c>
      <c r="Q43" s="42"/>
      <c r="R43" s="40">
        <f t="shared" si="2"/>
        <v>0</v>
      </c>
      <c r="S43" s="162"/>
      <c r="T43" s="40">
        <v>2951197</v>
      </c>
    </row>
    <row r="44" spans="1:20">
      <c r="A44" s="172" t="s">
        <v>96</v>
      </c>
      <c r="B44" s="50">
        <f>'Step 3 Acad Product &amp; Pools'!B44</f>
        <v>0</v>
      </c>
      <c r="C44" s="50"/>
      <c r="D44" s="50"/>
      <c r="E44" s="50">
        <f>'Step 3 Acad Product &amp; Pools'!E44</f>
        <v>0</v>
      </c>
      <c r="F44" s="50"/>
      <c r="G44" s="50">
        <f>'Step 3 Acad Product &amp; Pools'!G44</f>
        <v>0</v>
      </c>
      <c r="H44" s="50">
        <f>'Step 3 Acad Product &amp; Pools'!H44</f>
        <v>0</v>
      </c>
      <c r="I44" s="50">
        <f>'Step 3 Acad Product &amp; Pools'!I44</f>
        <v>0</v>
      </c>
      <c r="J44" s="50">
        <f>'Step 3 Acad Product &amp; Pools'!J44</f>
        <v>0</v>
      </c>
      <c r="K44" s="50"/>
      <c r="L44" s="50">
        <f>SUM('Step 3 Acad Product &amp; Pools'!L44:Q44)</f>
        <v>44542.69768917637</v>
      </c>
      <c r="M44" s="50"/>
      <c r="N44" s="50"/>
      <c r="O44" s="50">
        <f>'Step 3 Acad Product &amp; Pools'!T44</f>
        <v>-247900</v>
      </c>
      <c r="P44" s="50">
        <f>'Step 3 Acad Product &amp; Pools'!U44</f>
        <v>3350000</v>
      </c>
      <c r="Q44" s="42"/>
      <c r="R44" s="50">
        <f t="shared" si="2"/>
        <v>3146642.6976891765</v>
      </c>
      <c r="S44" s="162"/>
      <c r="T44" s="50">
        <v>10531320</v>
      </c>
    </row>
    <row r="45" spans="1:20">
      <c r="A45" s="358" t="s">
        <v>474</v>
      </c>
      <c r="B45" s="50">
        <f>'Step 3 Acad Product &amp; Pools'!B45</f>
        <v>0</v>
      </c>
      <c r="C45" s="50"/>
      <c r="D45" s="50"/>
      <c r="E45" s="50">
        <f>'Step 3 Acad Product &amp; Pools'!E45</f>
        <v>0</v>
      </c>
      <c r="F45" s="50"/>
      <c r="G45" s="50">
        <f>'Step 3 Acad Product &amp; Pools'!G45</f>
        <v>0</v>
      </c>
      <c r="H45" s="50">
        <f>'Step 3 Acad Product &amp; Pools'!H45</f>
        <v>0</v>
      </c>
      <c r="I45" s="50">
        <f>'Step 3 Acad Product &amp; Pools'!I45</f>
        <v>0</v>
      </c>
      <c r="J45" s="50">
        <f>'Step 3 Acad Product &amp; Pools'!J45</f>
        <v>0</v>
      </c>
      <c r="K45" s="50"/>
      <c r="L45" s="50">
        <f>SUM('Step 3 Acad Product &amp; Pools'!L45:Q45)</f>
        <v>601734.89493933867</v>
      </c>
      <c r="M45" s="50"/>
      <c r="N45" s="50"/>
      <c r="O45" s="50">
        <f>'Step 3 Acad Product &amp; Pools'!T45</f>
        <v>-141710</v>
      </c>
      <c r="P45" s="50">
        <f>'Step 3 Acad Product &amp; Pools'!U45</f>
        <v>1915000</v>
      </c>
      <c r="Q45" s="42"/>
      <c r="R45" s="50">
        <f t="shared" si="2"/>
        <v>2375024.8949393388</v>
      </c>
      <c r="S45" s="162"/>
      <c r="T45" s="50">
        <v>6381261</v>
      </c>
    </row>
    <row r="46" spans="1:20">
      <c r="A46" s="172" t="s">
        <v>97</v>
      </c>
      <c r="B46" s="50">
        <f>'Step 3 Acad Product &amp; Pools'!B46</f>
        <v>0</v>
      </c>
      <c r="C46" s="50"/>
      <c r="D46" s="50"/>
      <c r="E46" s="50">
        <f>'Step 3 Acad Product &amp; Pools'!E46</f>
        <v>0</v>
      </c>
      <c r="F46" s="50"/>
      <c r="G46" s="50">
        <f>'Step 3 Acad Product &amp; Pools'!G46</f>
        <v>0</v>
      </c>
      <c r="H46" s="50">
        <f>'Step 3 Acad Product &amp; Pools'!H46</f>
        <v>678606.19400000002</v>
      </c>
      <c r="I46" s="50">
        <f>'Step 3 Acad Product &amp; Pools'!I46</f>
        <v>0</v>
      </c>
      <c r="J46" s="50">
        <f>'Step 3 Acad Product &amp; Pools'!J46</f>
        <v>0</v>
      </c>
      <c r="K46" s="50"/>
      <c r="L46" s="50">
        <f>SUM('Step 3 Acad Product &amp; Pools'!L46:Q46)</f>
        <v>4934.5384274804937</v>
      </c>
      <c r="M46" s="50"/>
      <c r="N46" s="50"/>
      <c r="O46" s="50">
        <f>'Step 3 Acad Product &amp; Pools'!T46</f>
        <v>-3700</v>
      </c>
      <c r="P46" s="50">
        <f>'Step 3 Acad Product &amp; Pools'!U46</f>
        <v>50000</v>
      </c>
      <c r="Q46" s="42"/>
      <c r="R46" s="50">
        <f t="shared" si="2"/>
        <v>729840.73242748051</v>
      </c>
      <c r="S46" s="162"/>
      <c r="T46" s="50">
        <v>1904613</v>
      </c>
    </row>
    <row r="47" spans="1:20">
      <c r="A47" s="173" t="s">
        <v>98</v>
      </c>
      <c r="B47" s="40">
        <f>'Step 3 Acad Product &amp; Pools'!B47</f>
        <v>0</v>
      </c>
      <c r="C47" s="40"/>
      <c r="D47" s="40"/>
      <c r="E47" s="40">
        <f>'Step 3 Acad Product &amp; Pools'!E47</f>
        <v>0</v>
      </c>
      <c r="F47" s="40"/>
      <c r="G47" s="40">
        <f>'Step 3 Acad Product &amp; Pools'!G47</f>
        <v>1066381.162</v>
      </c>
      <c r="H47" s="40">
        <f>'Step 3 Acad Product &amp; Pools'!H47</f>
        <v>0</v>
      </c>
      <c r="I47" s="40">
        <f>'Step 3 Acad Product &amp; Pools'!I47</f>
        <v>0</v>
      </c>
      <c r="J47" s="40">
        <f>'Step 3 Acad Product &amp; Pools'!J47</f>
        <v>0</v>
      </c>
      <c r="K47" s="40"/>
      <c r="L47" s="40">
        <f>SUM('Step 3 Acad Product &amp; Pools'!L47:Q47)</f>
        <v>602.97011536474429</v>
      </c>
      <c r="M47" s="40"/>
      <c r="N47" s="44"/>
      <c r="O47" s="40">
        <f>'Step 3 Acad Product &amp; Pools'!T47</f>
        <v>-14800</v>
      </c>
      <c r="P47" s="40">
        <f>'Step 3 Acad Product &amp; Pools'!U47</f>
        <v>2831600</v>
      </c>
      <c r="Q47" s="42"/>
      <c r="R47" s="40">
        <f t="shared" si="2"/>
        <v>3883784.132115365</v>
      </c>
      <c r="S47" s="162"/>
      <c r="T47" s="40">
        <v>23770557</v>
      </c>
    </row>
    <row r="48" spans="1:20">
      <c r="A48" s="172" t="s">
        <v>475</v>
      </c>
      <c r="B48" s="50">
        <f>'Step 3 Acad Product &amp; Pools'!B48</f>
        <v>0</v>
      </c>
      <c r="C48" s="50"/>
      <c r="D48" s="50"/>
      <c r="E48" s="50">
        <f>'Step 3 Acad Product &amp; Pools'!E48</f>
        <v>0</v>
      </c>
      <c r="F48" s="50"/>
      <c r="G48" s="50">
        <f>'Step 3 Acad Product &amp; Pools'!G48</f>
        <v>242359.35500000001</v>
      </c>
      <c r="H48" s="50">
        <f>'Step 3 Acad Product &amp; Pools'!H48</f>
        <v>0</v>
      </c>
      <c r="I48" s="50">
        <f>'Step 3 Acad Product &amp; Pools'!I48</f>
        <v>0</v>
      </c>
      <c r="J48" s="50">
        <f>'Step 3 Acad Product &amp; Pools'!J48</f>
        <v>0</v>
      </c>
      <c r="K48" s="50"/>
      <c r="L48" s="50">
        <f>SUM('Step 3 Acad Product &amp; Pools'!L48:Q48)</f>
        <v>0</v>
      </c>
      <c r="M48" s="50"/>
      <c r="N48" s="50"/>
      <c r="O48" s="50">
        <f>'Step 3 Acad Product &amp; Pools'!T48</f>
        <v>-77700</v>
      </c>
      <c r="P48" s="50">
        <f>'Step 3 Acad Product &amp; Pools'!U48</f>
        <v>1488600</v>
      </c>
      <c r="Q48" s="42"/>
      <c r="R48" s="50">
        <f t="shared" si="2"/>
        <v>1653259.355</v>
      </c>
      <c r="S48" s="162"/>
      <c r="T48" s="50">
        <v>4978877</v>
      </c>
    </row>
    <row r="49" spans="1:21">
      <c r="A49" s="49" t="s">
        <v>85</v>
      </c>
      <c r="B49" s="50">
        <f>'Step 3 Acad Product &amp; Pools'!B49</f>
        <v>0</v>
      </c>
      <c r="C49" s="50"/>
      <c r="D49" s="50"/>
      <c r="E49" s="50">
        <f>'Step 3 Acad Product &amp; Pools'!E49</f>
        <v>0</v>
      </c>
      <c r="F49" s="50"/>
      <c r="G49" s="50">
        <f>'Step 3 Acad Product &amp; Pools'!G49</f>
        <v>0</v>
      </c>
      <c r="H49" s="50">
        <f>'Step 3 Acad Product &amp; Pools'!H49</f>
        <v>0</v>
      </c>
      <c r="I49" s="50">
        <f>'Step 3 Acad Product &amp; Pools'!I49</f>
        <v>0</v>
      </c>
      <c r="J49" s="50">
        <f>'Step 3 Acad Product &amp; Pools'!J49</f>
        <v>0</v>
      </c>
      <c r="K49" s="50"/>
      <c r="L49" s="50">
        <f>SUM('Step 3 Acad Product &amp; Pools'!L49:Q49)</f>
        <v>11213.601234313732</v>
      </c>
      <c r="M49" s="50"/>
      <c r="N49" s="50"/>
      <c r="O49" s="50">
        <f>'Step 3 Acad Product &amp; Pools'!T49</f>
        <v>-3330</v>
      </c>
      <c r="P49" s="50">
        <f>'Step 3 Acad Product &amp; Pools'!U49</f>
        <v>45000</v>
      </c>
      <c r="Q49" s="42"/>
      <c r="R49" s="50">
        <f t="shared" si="2"/>
        <v>52883.601234313734</v>
      </c>
      <c r="S49" s="162"/>
      <c r="T49" s="50">
        <v>1507856</v>
      </c>
    </row>
    <row r="50" spans="1:21">
      <c r="A50" s="172" t="s">
        <v>99</v>
      </c>
      <c r="B50" s="50">
        <f>'Step 3 Acad Product &amp; Pools'!B50</f>
        <v>0</v>
      </c>
      <c r="C50" s="50"/>
      <c r="D50" s="50"/>
      <c r="E50" s="50">
        <f>'Step 3 Acad Product &amp; Pools'!E50</f>
        <v>0</v>
      </c>
      <c r="F50" s="50"/>
      <c r="G50" s="50">
        <f>'Step 3 Acad Product &amp; Pools'!G50</f>
        <v>242359.35500000001</v>
      </c>
      <c r="H50" s="50">
        <f>'Step 3 Acad Product &amp; Pools'!H50</f>
        <v>0</v>
      </c>
      <c r="I50" s="50">
        <f>'Step 3 Acad Product &amp; Pools'!I50</f>
        <v>0</v>
      </c>
      <c r="J50" s="50">
        <f>'Step 3 Acad Product &amp; Pools'!J50</f>
        <v>0</v>
      </c>
      <c r="K50" s="50"/>
      <c r="L50" s="50">
        <f>SUM('Step 3 Acad Product &amp; Pools'!L50:Q50)</f>
        <v>0</v>
      </c>
      <c r="M50" s="50"/>
      <c r="N50" s="50"/>
      <c r="O50" s="50">
        <f>'Step 3 Acad Product &amp; Pools'!T50</f>
        <v>0</v>
      </c>
      <c r="P50" s="50">
        <f>'Step 3 Acad Product &amp; Pools'!U50</f>
        <v>3658800</v>
      </c>
      <c r="Q50" s="42"/>
      <c r="R50" s="50">
        <f t="shared" si="2"/>
        <v>3901159.355</v>
      </c>
      <c r="S50" s="162"/>
      <c r="T50" s="222">
        <v>7933343</v>
      </c>
    </row>
    <row r="51" spans="1:21">
      <c r="A51" s="173" t="s">
        <v>100</v>
      </c>
      <c r="B51" s="40">
        <f>'Step 3 Acad Product &amp; Pools'!B51</f>
        <v>0</v>
      </c>
      <c r="C51" s="40"/>
      <c r="D51" s="40"/>
      <c r="E51" s="40">
        <f>'Step 3 Acad Product &amp; Pools'!E51</f>
        <v>0</v>
      </c>
      <c r="F51" s="40"/>
      <c r="G51" s="40">
        <f>'Step 3 Acad Product &amp; Pools'!G51</f>
        <v>0</v>
      </c>
      <c r="H51" s="40">
        <f>'Step 3 Acad Product &amp; Pools'!H51</f>
        <v>0</v>
      </c>
      <c r="I51" s="40">
        <f>'Step 3 Acad Product &amp; Pools'!I51</f>
        <v>0</v>
      </c>
      <c r="J51" s="40">
        <f>'Step 3 Acad Product &amp; Pools'!J51</f>
        <v>0</v>
      </c>
      <c r="K51" s="40"/>
      <c r="L51" s="40">
        <f>SUM('Step 3 Acad Product &amp; Pools'!L51:Q51)</f>
        <v>1359432.3894694957</v>
      </c>
      <c r="M51" s="40"/>
      <c r="N51" s="44"/>
      <c r="O51" s="40">
        <f>'Step 3 Acad Product &amp; Pools'!T51</f>
        <v>-112682.538</v>
      </c>
      <c r="P51" s="40">
        <f>'Step 3 Acad Product &amp; Pools'!U51</f>
        <v>1522737</v>
      </c>
      <c r="Q51" s="42"/>
      <c r="R51" s="40">
        <f t="shared" si="2"/>
        <v>2769486.8514694958</v>
      </c>
      <c r="S51" s="162"/>
      <c r="T51" s="44">
        <v>13396050</v>
      </c>
    </row>
    <row r="52" spans="1:21">
      <c r="A52" s="172" t="s">
        <v>101</v>
      </c>
      <c r="B52" s="50">
        <f>'Step 3 Acad Product &amp; Pools'!B52</f>
        <v>0</v>
      </c>
      <c r="C52" s="50"/>
      <c r="D52" s="50"/>
      <c r="E52" s="50">
        <f>'Step 3 Acad Product &amp; Pools'!E52</f>
        <v>0</v>
      </c>
      <c r="F52" s="50"/>
      <c r="G52" s="50">
        <f>'Step 3 Acad Product &amp; Pools'!G52</f>
        <v>0</v>
      </c>
      <c r="H52" s="50">
        <f>'Step 3 Acad Product &amp; Pools'!H52</f>
        <v>0</v>
      </c>
      <c r="I52" s="50">
        <f>'Step 3 Acad Product &amp; Pools'!I52</f>
        <v>0</v>
      </c>
      <c r="J52" s="50">
        <f>'Step 3 Acad Product &amp; Pools'!J52</f>
        <v>533190.58100000001</v>
      </c>
      <c r="K52" s="50"/>
      <c r="L52" s="50">
        <f>SUM('Step 3 Acad Product &amp; Pools'!L52:Q52)</f>
        <v>0</v>
      </c>
      <c r="M52" s="50"/>
      <c r="N52" s="50"/>
      <c r="O52" s="50">
        <f>'Step 3 Acad Product &amp; Pools'!T52</f>
        <v>0</v>
      </c>
      <c r="P52" s="50">
        <f>'Step 3 Acad Product &amp; Pools'!U52</f>
        <v>1754400</v>
      </c>
      <c r="Q52" s="42"/>
      <c r="R52" s="50">
        <f t="shared" si="2"/>
        <v>2287590.5810000002</v>
      </c>
      <c r="S52" s="162"/>
      <c r="T52" s="50">
        <v>13613698</v>
      </c>
    </row>
    <row r="53" spans="1:21">
      <c r="A53" s="172" t="s">
        <v>102</v>
      </c>
      <c r="B53" s="50">
        <f>'Step 3 Acad Product &amp; Pools'!B53</f>
        <v>0</v>
      </c>
      <c r="C53" s="50"/>
      <c r="D53" s="50"/>
      <c r="E53" s="50">
        <f>'Step 3 Acad Product &amp; Pools'!E53</f>
        <v>0</v>
      </c>
      <c r="F53" s="50"/>
      <c r="G53" s="50">
        <f>'Step 3 Acad Product &amp; Pools'!G53</f>
        <v>0</v>
      </c>
      <c r="H53" s="50">
        <f>'Step 3 Acad Product &amp; Pools'!H53</f>
        <v>0</v>
      </c>
      <c r="I53" s="50">
        <f>'Step 3 Acad Product &amp; Pools'!I53</f>
        <v>0</v>
      </c>
      <c r="J53" s="50">
        <f>'Step 3 Acad Product &amp; Pools'!J53</f>
        <v>824021.80700000003</v>
      </c>
      <c r="K53" s="50"/>
      <c r="L53" s="50">
        <f>SUM('Step 3 Acad Product &amp; Pools'!L53:Q53)</f>
        <v>0</v>
      </c>
      <c r="M53" s="50"/>
      <c r="N53" s="50"/>
      <c r="O53" s="50">
        <f>'Step 3 Acad Product &amp; Pools'!T53</f>
        <v>-65120</v>
      </c>
      <c r="P53" s="50">
        <f>'Step 3 Acad Product &amp; Pools'!U53</f>
        <v>2634400</v>
      </c>
      <c r="Q53" s="42"/>
      <c r="R53" s="50">
        <f t="shared" si="2"/>
        <v>3393301.807</v>
      </c>
      <c r="S53" s="162"/>
      <c r="T53" s="222">
        <v>30168812</v>
      </c>
    </row>
    <row r="54" spans="1:21">
      <c r="A54" s="173" t="s">
        <v>103</v>
      </c>
      <c r="B54" s="40">
        <f>'Step 3 Acad Product &amp; Pools'!B54</f>
        <v>0</v>
      </c>
      <c r="C54" s="40"/>
      <c r="D54" s="40"/>
      <c r="E54" s="40">
        <f>'Step 3 Acad Product &amp; Pools'!E54</f>
        <v>0</v>
      </c>
      <c r="F54" s="40"/>
      <c r="G54" s="40">
        <f>'Step 3 Acad Product &amp; Pools'!G54</f>
        <v>0</v>
      </c>
      <c r="H54" s="40">
        <f>'Step 3 Acad Product &amp; Pools'!H54</f>
        <v>0</v>
      </c>
      <c r="I54" s="40">
        <f>'Step 3 Acad Product &amp; Pools'!I54</f>
        <v>0</v>
      </c>
      <c r="J54" s="40">
        <f>'Step 3 Acad Product &amp; Pools'!J54</f>
        <v>0</v>
      </c>
      <c r="K54" s="40"/>
      <c r="L54" s="40">
        <f>SUM('Step 3 Acad Product &amp; Pools'!L54:Q54)</f>
        <v>435.06190005183799</v>
      </c>
      <c r="M54" s="40"/>
      <c r="N54" s="44"/>
      <c r="O54" s="40">
        <f>'Step 3 Acad Product &amp; Pools'!T54</f>
        <v>0</v>
      </c>
      <c r="P54" s="40">
        <f>'Step 3 Acad Product &amp; Pools'!U54</f>
        <v>4824600</v>
      </c>
      <c r="Q54" s="42"/>
      <c r="R54" s="40">
        <f t="shared" si="2"/>
        <v>4825035.0619000522</v>
      </c>
      <c r="S54" s="162"/>
      <c r="T54" s="44">
        <v>18588968</v>
      </c>
    </row>
    <row r="55" spans="1:21">
      <c r="A55" s="172" t="s">
        <v>450</v>
      </c>
      <c r="B55" s="44">
        <f>'Step 3 Acad Product &amp; Pools'!B55</f>
        <v>0</v>
      </c>
      <c r="C55" s="44"/>
      <c r="D55" s="44"/>
      <c r="E55" s="44">
        <f>'Step 3 Acad Product &amp; Pools'!E55</f>
        <v>0</v>
      </c>
      <c r="F55" s="44"/>
      <c r="G55" s="44">
        <f>'Step 3 Acad Product &amp; Pools'!G55</f>
        <v>0</v>
      </c>
      <c r="H55" s="44">
        <f>'Step 3 Acad Product &amp; Pools'!H55</f>
        <v>0</v>
      </c>
      <c r="I55" s="44">
        <f>'Step 3 Acad Product &amp; Pools'!I55</f>
        <v>0</v>
      </c>
      <c r="J55" s="44">
        <f>'Step 3 Acad Product &amp; Pools'!J55</f>
        <v>0</v>
      </c>
      <c r="K55" s="44"/>
      <c r="L55" s="44">
        <f>SUM('Step 3 Acad Product &amp; Pools'!L55:Q55)</f>
        <v>0</v>
      </c>
      <c r="M55" s="44"/>
      <c r="N55" s="44"/>
      <c r="O55" s="44">
        <f>'Step 3 Acad Product &amp; Pools'!T55</f>
        <v>0</v>
      </c>
      <c r="P55" s="44">
        <f>'Step 3 Acad Product &amp; Pools'!U55</f>
        <v>0</v>
      </c>
      <c r="Q55" s="42"/>
      <c r="R55" s="44">
        <f t="shared" si="2"/>
        <v>0</v>
      </c>
      <c r="S55" s="162"/>
      <c r="T55" s="44">
        <v>0</v>
      </c>
    </row>
    <row r="56" spans="1:21">
      <c r="A56" s="358" t="s">
        <v>476</v>
      </c>
      <c r="B56" s="44">
        <f>'Step 3 Acad Product &amp; Pools'!B56</f>
        <v>0</v>
      </c>
      <c r="C56" s="44"/>
      <c r="D56" s="44"/>
      <c r="E56" s="44">
        <f>'Step 3 Acad Product &amp; Pools'!E56</f>
        <v>0</v>
      </c>
      <c r="F56" s="44"/>
      <c r="G56" s="44">
        <f>'Step 3 Acad Product &amp; Pools'!G56</f>
        <v>0</v>
      </c>
      <c r="H56" s="44">
        <f>'Step 3 Acad Product &amp; Pools'!H56</f>
        <v>0</v>
      </c>
      <c r="I56" s="44">
        <f>'Step 3 Acad Product &amp; Pools'!I56</f>
        <v>0</v>
      </c>
      <c r="J56" s="44">
        <f>'Step 3 Acad Product &amp; Pools'!J56</f>
        <v>0</v>
      </c>
      <c r="K56" s="44"/>
      <c r="L56" s="44">
        <f>SUM('Step 3 Acad Product &amp; Pools'!L56:Q56)</f>
        <v>0</v>
      </c>
      <c r="M56" s="44"/>
      <c r="N56" s="44"/>
      <c r="O56" s="44">
        <f>'Step 3 Acad Product &amp; Pools'!T56</f>
        <v>0</v>
      </c>
      <c r="P56" s="44">
        <f>'Step 3 Acad Product &amp; Pools'!U56</f>
        <v>877200</v>
      </c>
      <c r="Q56" s="42"/>
      <c r="R56" s="44">
        <f t="shared" si="2"/>
        <v>877200</v>
      </c>
      <c r="S56" s="162"/>
      <c r="T56" s="222">
        <v>2400967</v>
      </c>
    </row>
    <row r="57" spans="1:21">
      <c r="A57" s="172" t="s">
        <v>104</v>
      </c>
      <c r="B57" s="50">
        <f>'Step 3 Acad Product &amp; Pools'!B57</f>
        <v>0</v>
      </c>
      <c r="C57" s="50"/>
      <c r="D57" s="50"/>
      <c r="E57" s="50">
        <f>'Step 3 Acad Product &amp; Pools'!E57</f>
        <v>0</v>
      </c>
      <c r="F57" s="50"/>
      <c r="G57" s="50">
        <f>'Step 3 Acad Product &amp; Pools'!G57</f>
        <v>0</v>
      </c>
      <c r="H57" s="50">
        <f>'Step 3 Acad Product &amp; Pools'!H57</f>
        <v>0</v>
      </c>
      <c r="I57" s="50">
        <f>'Step 3 Acad Product &amp; Pools'!I57</f>
        <v>0</v>
      </c>
      <c r="J57" s="50">
        <f>'Step 3 Acad Product &amp; Pools'!J57</f>
        <v>0</v>
      </c>
      <c r="K57" s="50"/>
      <c r="L57" s="50">
        <f>SUM('Step 3 Acad Product &amp; Pools'!L57:Q57)</f>
        <v>0</v>
      </c>
      <c r="M57" s="50"/>
      <c r="N57" s="50"/>
      <c r="O57" s="50">
        <f>'Step 3 Acad Product &amp; Pools'!T57</f>
        <v>-5180</v>
      </c>
      <c r="P57" s="50">
        <f>'Step 3 Acad Product &amp; Pools'!U57</f>
        <v>4456000</v>
      </c>
      <c r="Q57" s="42"/>
      <c r="R57" s="50">
        <f t="shared" si="2"/>
        <v>4450820</v>
      </c>
      <c r="S57" s="162"/>
      <c r="T57" s="50">
        <v>12293440</v>
      </c>
    </row>
    <row r="58" spans="1:21">
      <c r="A58" s="366" t="s">
        <v>105</v>
      </c>
      <c r="B58" s="367">
        <f>SUM(B39:B57)</f>
        <v>0</v>
      </c>
      <c r="C58" s="367">
        <f>SUM(C39:C57)</f>
        <v>0</v>
      </c>
      <c r="D58" s="367"/>
      <c r="E58" s="367">
        <f>SUM(E39:E57)</f>
        <v>0</v>
      </c>
      <c r="F58" s="367"/>
      <c r="G58" s="367">
        <f>SUM(G39:G57)</f>
        <v>1551099.872</v>
      </c>
      <c r="H58" s="367">
        <f>SUM(H39:H57)</f>
        <v>678606.19400000002</v>
      </c>
      <c r="I58" s="367">
        <f>SUM(I39:I57)</f>
        <v>0</v>
      </c>
      <c r="J58" s="367">
        <f>SUM(J39:J57)</f>
        <v>1357212.388</v>
      </c>
      <c r="K58" s="367"/>
      <c r="L58" s="367">
        <f>SUM(L39:L57)</f>
        <v>2022903.4796102976</v>
      </c>
      <c r="M58" s="367">
        <f>SUM(M39:M57)</f>
        <v>0</v>
      </c>
      <c r="N58" s="168"/>
      <c r="O58" s="367">
        <f>SUM(O39:O57)</f>
        <v>-672788.53799999994</v>
      </c>
      <c r="P58" s="367">
        <f>SUM(P39:P57)</f>
        <v>29417337</v>
      </c>
      <c r="Q58" s="1283"/>
      <c r="R58" s="367">
        <f>SUM(R39:R57)</f>
        <v>34354370.395610303</v>
      </c>
      <c r="S58" s="162"/>
      <c r="T58" s="1826">
        <f>SUM(T39:T57)</f>
        <v>172113020</v>
      </c>
    </row>
    <row r="59" spans="1:21" ht="16.5" thickBot="1">
      <c r="A59" s="368" t="s">
        <v>106</v>
      </c>
      <c r="B59" s="369">
        <f>B6+B7+B8+B9+B10+B11+B12+B35+B58</f>
        <v>48474350.769999996</v>
      </c>
      <c r="C59" s="369">
        <f>C6+C7+C10+C11+C12+C35+C58+C8</f>
        <v>0</v>
      </c>
      <c r="D59" s="369"/>
      <c r="E59" s="369">
        <f>E6+E7+E10+E11+E12+E35+E58+E8</f>
        <v>22100000</v>
      </c>
      <c r="F59" s="369"/>
      <c r="G59" s="369">
        <f>G6+G7+G10+G11+G12+G35+G58</f>
        <v>1551099.872</v>
      </c>
      <c r="H59" s="369">
        <f>H6+H7+H10+H11+H12+H35+H58</f>
        <v>678606.19400000002</v>
      </c>
      <c r="I59" s="369">
        <f>I6+I7+I10+I11+I12+I35+I58</f>
        <v>0</v>
      </c>
      <c r="J59" s="369">
        <f>J6+J7+J10+J11+J12+J35+J58</f>
        <v>1357212.388</v>
      </c>
      <c r="K59" s="369"/>
      <c r="L59" s="369">
        <f>L6+L7+L8+L9+L10+L11+L12+L35+L58</f>
        <v>220567027.671018</v>
      </c>
      <c r="M59" s="369">
        <f>M6+M7+M8+M9+M10+M11+M12+M35+M58</f>
        <v>0</v>
      </c>
      <c r="N59" s="194"/>
      <c r="O59" s="369">
        <f>O6+O7+O8+O9+O10+O11+O12+O35+O58</f>
        <v>-3586918.4539999999</v>
      </c>
      <c r="P59" s="369">
        <f>P6+P7+P8+P9+P10+P11+P12+P35+P58</f>
        <v>156760749.16776377</v>
      </c>
      <c r="Q59" s="167"/>
      <c r="R59" s="369">
        <f>R6+R7+R8+R9+R10+R11+R12+R35+R58</f>
        <v>447902127.60878181</v>
      </c>
      <c r="S59" s="637"/>
      <c r="T59" s="781">
        <f>SUM(T6:T12)+T35+T58</f>
        <v>574133379.23672247</v>
      </c>
    </row>
    <row r="60" spans="1:21" ht="17.25" thickTop="1" thickBot="1">
      <c r="A60" s="172"/>
      <c r="B60" s="172"/>
      <c r="C60" s="172"/>
      <c r="D60" s="172"/>
      <c r="E60" s="172"/>
      <c r="F60" s="172"/>
      <c r="G60" s="172"/>
      <c r="H60" s="172"/>
      <c r="I60" s="172"/>
      <c r="J60" s="172"/>
      <c r="K60" s="172"/>
      <c r="L60" s="163"/>
      <c r="M60" s="163"/>
      <c r="N60" s="163"/>
      <c r="O60" s="163"/>
      <c r="P60" s="163"/>
      <c r="Q60" s="162"/>
      <c r="R60" s="165">
        <f>SUM(B59:P59)</f>
        <v>447902127.60878175</v>
      </c>
      <c r="S60" s="162"/>
      <c r="T60" s="52"/>
      <c r="U60" s="161"/>
    </row>
    <row r="61" spans="1:21" ht="16.5" thickTop="1"/>
    <row r="62" spans="1:21">
      <c r="B62" s="12"/>
    </row>
  </sheetData>
  <mergeCells count="4">
    <mergeCell ref="B4:E4"/>
    <mergeCell ref="G4:J4"/>
    <mergeCell ref="L4:M4"/>
    <mergeCell ref="O4:P4"/>
  </mergeCells>
  <pageMargins left="0.75" right="0.75" top="1" bottom="1" header="0.5" footer="0.5"/>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Y101"/>
  <sheetViews>
    <sheetView topLeftCell="F25" zoomScale="110" zoomScaleNormal="110" zoomScalePageLayoutView="110" workbookViewId="0">
      <selection activeCell="D39" sqref="D39"/>
    </sheetView>
  </sheetViews>
  <sheetFormatPr defaultColWidth="11" defaultRowHeight="15.75"/>
  <cols>
    <col min="1" max="1" width="36.125" customWidth="1"/>
    <col min="2" max="2" width="11.125" customWidth="1"/>
    <col min="3" max="3" width="11.5" customWidth="1"/>
    <col min="4" max="4" width="13.125" customWidth="1"/>
    <col min="5" max="5" width="15.625" customWidth="1"/>
    <col min="6" max="6" width="3.375" customWidth="1"/>
    <col min="7" max="10" width="11" customWidth="1"/>
    <col min="11" max="11" width="3.625" customWidth="1"/>
    <col min="12" max="12" width="11.875" customWidth="1"/>
    <col min="13" max="13" width="4.125" customWidth="1"/>
    <col min="14" max="14" width="3.125" customWidth="1"/>
    <col min="15" max="15" width="11" customWidth="1"/>
    <col min="16" max="16" width="12" customWidth="1"/>
    <col min="17" max="17" width="3.125" customWidth="1"/>
    <col min="18" max="18" width="13.875" customWidth="1"/>
    <col min="19" max="19" width="7.875" customWidth="1"/>
    <col min="20" max="20" width="12.875" customWidth="1"/>
    <col min="21" max="21" width="13.625" customWidth="1"/>
    <col min="22" max="22" width="36.625" customWidth="1"/>
    <col min="23" max="23" width="12.625" customWidth="1"/>
    <col min="24" max="24" width="12.875" bestFit="1" customWidth="1"/>
    <col min="25" max="25" width="13" bestFit="1" customWidth="1"/>
  </cols>
  <sheetData>
    <row r="1" spans="1:25" ht="16.5" thickBot="1">
      <c r="A1" s="169" t="s">
        <v>61</v>
      </c>
      <c r="B1" s="169"/>
      <c r="C1" s="169"/>
      <c r="D1" s="169"/>
      <c r="E1" s="169"/>
      <c r="F1" s="169"/>
      <c r="G1" s="169"/>
      <c r="H1" s="169"/>
      <c r="I1" s="1284" t="s">
        <v>698</v>
      </c>
      <c r="J1" s="390"/>
      <c r="K1" s="1285"/>
      <c r="L1" s="1286">
        <v>0.02</v>
      </c>
      <c r="M1" s="169"/>
      <c r="N1" s="169"/>
      <c r="O1" s="169" t="s">
        <v>169</v>
      </c>
      <c r="Q1" s="169"/>
      <c r="R1" s="169"/>
      <c r="S1" s="169"/>
      <c r="T1" s="169"/>
      <c r="U1" s="169"/>
      <c r="V1" s="169"/>
    </row>
    <row r="2" spans="1:25" ht="16.5" thickBot="1">
      <c r="A2" s="169" t="s">
        <v>1616</v>
      </c>
      <c r="B2" s="169"/>
      <c r="C2" s="169"/>
      <c r="D2" s="169"/>
      <c r="E2" s="169"/>
      <c r="F2" s="169"/>
      <c r="G2" s="169"/>
      <c r="H2" s="169"/>
      <c r="I2" s="1287" t="s">
        <v>699</v>
      </c>
      <c r="J2" s="396"/>
      <c r="K2" s="1288"/>
      <c r="L2" s="1289">
        <v>3.5000000000000003E-2</v>
      </c>
      <c r="M2" s="169"/>
      <c r="N2" s="169"/>
      <c r="O2" s="169"/>
      <c r="P2" s="169"/>
      <c r="Q2" s="169"/>
      <c r="R2" s="196" t="s">
        <v>174</v>
      </c>
      <c r="S2" s="197"/>
      <c r="T2" s="201">
        <f>'Step 0 FY20 Revenue'!L59</f>
        <v>597416226.57626891</v>
      </c>
      <c r="U2" s="169"/>
      <c r="V2" s="196" t="s">
        <v>1310</v>
      </c>
      <c r="W2" s="201">
        <f>'Step 2 Productivity Split'!C18</f>
        <v>180668745.73748711</v>
      </c>
    </row>
    <row r="3" spans="1:25" ht="16.5" thickBot="1">
      <c r="A3" s="169"/>
      <c r="B3" s="385"/>
      <c r="C3" s="169"/>
      <c r="D3" s="169"/>
      <c r="E3" s="169"/>
      <c r="F3" s="169"/>
      <c r="G3" s="169"/>
      <c r="H3" s="169"/>
      <c r="I3" s="169"/>
      <c r="J3" s="169"/>
      <c r="K3" s="169"/>
      <c r="L3" s="169"/>
      <c r="M3" s="169"/>
      <c r="N3" s="169"/>
      <c r="O3" s="169"/>
      <c r="P3" s="169"/>
      <c r="Q3" s="169"/>
      <c r="R3" s="198" t="s">
        <v>175</v>
      </c>
      <c r="S3" s="199"/>
      <c r="T3" s="200">
        <f>T2-SUM(B59:P59)</f>
        <v>124539878.43596178</v>
      </c>
      <c r="U3" s="984"/>
      <c r="V3" s="198" t="s">
        <v>1311</v>
      </c>
      <c r="W3" s="200">
        <f>W2-SUM(B6,B7,B11,B12)-C59-E58-E8-D59</f>
        <v>124539878.43596172</v>
      </c>
    </row>
    <row r="4" spans="1:25">
      <c r="A4" s="170"/>
      <c r="B4" s="1940" t="s">
        <v>165</v>
      </c>
      <c r="C4" s="1940"/>
      <c r="D4" s="1940"/>
      <c r="E4" s="1940"/>
      <c r="F4" s="190"/>
      <c r="G4" s="1941" t="s">
        <v>166</v>
      </c>
      <c r="H4" s="1941"/>
      <c r="I4" s="1941"/>
      <c r="J4" s="1941"/>
      <c r="K4" s="190"/>
      <c r="L4" s="1947" t="s">
        <v>629</v>
      </c>
      <c r="M4" s="1947"/>
      <c r="N4" s="170"/>
      <c r="O4" s="1942" t="s">
        <v>151</v>
      </c>
      <c r="P4" s="1942"/>
      <c r="Q4" s="170"/>
      <c r="R4" s="170"/>
      <c r="S4" s="170"/>
      <c r="T4" s="234"/>
      <c r="U4" s="170"/>
    </row>
    <row r="5" spans="1:25" s="182" customFormat="1" ht="63.75">
      <c r="A5" s="180" t="s">
        <v>68</v>
      </c>
      <c r="B5" s="224" t="s">
        <v>172</v>
      </c>
      <c r="C5" s="224" t="s">
        <v>700</v>
      </c>
      <c r="D5" s="224" t="s">
        <v>635</v>
      </c>
      <c r="E5" s="224" t="s">
        <v>1346</v>
      </c>
      <c r="F5" s="224"/>
      <c r="G5" s="224" t="s">
        <v>156</v>
      </c>
      <c r="H5" s="224" t="s">
        <v>157</v>
      </c>
      <c r="I5" s="224" t="s">
        <v>158</v>
      </c>
      <c r="J5" s="224" t="s">
        <v>159</v>
      </c>
      <c r="K5" s="224"/>
      <c r="L5" s="638"/>
      <c r="M5" s="638"/>
      <c r="N5" s="224"/>
      <c r="O5" s="224" t="s">
        <v>164</v>
      </c>
      <c r="P5" s="224" t="s">
        <v>168</v>
      </c>
      <c r="Q5" s="1007"/>
      <c r="R5" s="224" t="s">
        <v>1610</v>
      </c>
      <c r="S5" s="1076"/>
      <c r="T5" s="224" t="s">
        <v>1806</v>
      </c>
    </row>
    <row r="6" spans="1:25">
      <c r="A6" s="171" t="s">
        <v>470</v>
      </c>
      <c r="B6" s="1653">
        <f>'Step 4 Contract and Reserves'!B6</f>
        <v>3288473.2881894102</v>
      </c>
      <c r="C6" s="40">
        <f>'Step 4 Contract and Reserves'!C6</f>
        <v>0</v>
      </c>
      <c r="D6" s="40">
        <f>'Step 4 Contract and Reserves'!D6</f>
        <v>0</v>
      </c>
      <c r="E6" s="40">
        <f>'Step 4 Contract and Reserves'!E6</f>
        <v>0</v>
      </c>
      <c r="F6" s="40"/>
      <c r="G6" s="40">
        <f>'Step 4 Contract and Reserves'!G6</f>
        <v>0</v>
      </c>
      <c r="H6" s="40">
        <f>'Step 4 Contract and Reserves'!H6</f>
        <v>0</v>
      </c>
      <c r="I6" s="40">
        <f>'Step 4 Contract and Reserves'!I6</f>
        <v>0</v>
      </c>
      <c r="J6" s="40">
        <f>'Step 4 Contract and Reserves'!J6</f>
        <v>0</v>
      </c>
      <c r="K6" s="40"/>
      <c r="L6" s="40">
        <f>'Step 4 Contract and Reserves'!L6</f>
        <v>0</v>
      </c>
      <c r="M6" s="40"/>
      <c r="N6" s="44"/>
      <c r="O6" s="40">
        <f>'Step 4 Contract and Reserves'!O6</f>
        <v>0</v>
      </c>
      <c r="P6" s="40">
        <f>'Step 4 Contract and Reserves'!P6</f>
        <v>0</v>
      </c>
      <c r="R6" s="40">
        <f t="shared" ref="R6:R12" si="0">SUM(B6:P6)</f>
        <v>3288473.2881894102</v>
      </c>
      <c r="S6" s="161"/>
      <c r="T6" s="40">
        <v>-626137</v>
      </c>
    </row>
    <row r="7" spans="1:25">
      <c r="A7" s="171" t="s">
        <v>469</v>
      </c>
      <c r="B7" s="1653">
        <f>'Step 4 Contract and Reserves'!B7</f>
        <v>1904526.7118105898</v>
      </c>
      <c r="C7" s="40">
        <f>'Step 4a IM Summary'!B17-1000000</f>
        <v>3222680</v>
      </c>
      <c r="D7" s="40">
        <f>'Step 4 Contract and Reserves'!D7</f>
        <v>0</v>
      </c>
      <c r="E7" s="40">
        <f>'Step 4 Contract and Reserves'!E7</f>
        <v>0</v>
      </c>
      <c r="F7" s="40"/>
      <c r="G7" s="40">
        <f>'Step 4 Contract and Reserves'!G7</f>
        <v>0</v>
      </c>
      <c r="H7" s="40">
        <f>'Step 4 Contract and Reserves'!H7</f>
        <v>0</v>
      </c>
      <c r="I7" s="40">
        <f>'Step 4 Contract and Reserves'!I7</f>
        <v>0</v>
      </c>
      <c r="J7" s="40">
        <f>'Step 4 Contract and Reserves'!J7</f>
        <v>0</v>
      </c>
      <c r="K7" s="40"/>
      <c r="L7" s="40">
        <f>'Step 4 Contract and Reserves'!L7</f>
        <v>0</v>
      </c>
      <c r="M7" s="40"/>
      <c r="N7" s="44"/>
      <c r="O7" s="1653">
        <f>'Step 4 Contract and Reserves'!O7</f>
        <v>-270100</v>
      </c>
      <c r="P7" s="1653">
        <f>'Step 4 Contract and Reserves'!P7</f>
        <v>6843000</v>
      </c>
      <c r="R7" s="40">
        <f t="shared" si="0"/>
        <v>11700106.711810589</v>
      </c>
      <c r="S7" s="161"/>
      <c r="T7" s="40">
        <v>7259180</v>
      </c>
    </row>
    <row r="8" spans="1:25">
      <c r="A8" s="171" t="s">
        <v>697</v>
      </c>
      <c r="B8" s="40">
        <f>'Step 4 Contract and Reserves'!B8</f>
        <v>0</v>
      </c>
      <c r="C8" s="1653">
        <f>L1*T2-C35-C58-C7</f>
        <v>-1785271.468474621</v>
      </c>
      <c r="D8" s="40">
        <f>'Step 4 Contract and Reserves'!D8</f>
        <v>0</v>
      </c>
      <c r="E8" s="40">
        <f>'Step 4 Contract and Reserves'!E8</f>
        <v>0</v>
      </c>
      <c r="F8" s="40"/>
      <c r="G8" s="40">
        <f>'Step 4 Contract and Reserves'!G8</f>
        <v>0</v>
      </c>
      <c r="H8" s="40">
        <f>'Step 4 Contract and Reserves'!H8</f>
        <v>0</v>
      </c>
      <c r="I8" s="40">
        <f>'Step 4 Contract and Reserves'!I8</f>
        <v>0</v>
      </c>
      <c r="J8" s="40">
        <f>'Step 4 Contract and Reserves'!J8</f>
        <v>0</v>
      </c>
      <c r="K8" s="40"/>
      <c r="L8" s="40">
        <f>'Step 4 Contract and Reserves'!L8</f>
        <v>0</v>
      </c>
      <c r="M8" s="40"/>
      <c r="N8" s="44"/>
      <c r="O8" s="40">
        <f>'Step 4 Contract and Reserves'!O8</f>
        <v>0</v>
      </c>
      <c r="P8" s="40">
        <f>'Step 4 Contract and Reserves'!P8</f>
        <v>0</v>
      </c>
      <c r="R8" s="40">
        <f t="shared" si="0"/>
        <v>-1785271.468474621</v>
      </c>
      <c r="S8" s="161"/>
      <c r="T8" s="40">
        <v>-10659942.763277592</v>
      </c>
    </row>
    <row r="9" spans="1:25">
      <c r="A9" s="171" t="s">
        <v>714</v>
      </c>
      <c r="B9" s="40">
        <f>'Step 4 Contract and Reserves'!B9</f>
        <v>0</v>
      </c>
      <c r="C9" s="40">
        <f>'Step 4 Contract and Reserves'!C9</f>
        <v>0</v>
      </c>
      <c r="D9" s="40">
        <f>'Step 4 Contract and Reserves'!D9</f>
        <v>0</v>
      </c>
      <c r="E9" s="40">
        <f>'Step 4 Contract and Reserves'!E9</f>
        <v>0</v>
      </c>
      <c r="F9" s="40"/>
      <c r="G9" s="40">
        <f>'Step 4 Contract and Reserves'!G9</f>
        <v>0</v>
      </c>
      <c r="H9" s="40">
        <f>'Step 4 Contract and Reserves'!H9</f>
        <v>0</v>
      </c>
      <c r="I9" s="40">
        <f>'Step 4 Contract and Reserves'!I9</f>
        <v>0</v>
      </c>
      <c r="J9" s="40">
        <f>'Step 4 Contract and Reserves'!J9</f>
        <v>0</v>
      </c>
      <c r="K9" s="40"/>
      <c r="L9" s="40">
        <f>'Step 4 Contract and Reserves'!L9</f>
        <v>0</v>
      </c>
      <c r="M9" s="40"/>
      <c r="N9" s="44"/>
      <c r="O9" s="40">
        <f>'Step 4 Contract and Reserves'!O9</f>
        <v>0</v>
      </c>
      <c r="P9" s="40">
        <f>'Step 4 Contract and Reserves'!P9</f>
        <v>13000000</v>
      </c>
      <c r="R9" s="40">
        <f t="shared" si="0"/>
        <v>13000000</v>
      </c>
      <c r="S9" s="161"/>
      <c r="T9" s="40">
        <v>10000000</v>
      </c>
    </row>
    <row r="10" spans="1:25">
      <c r="A10" s="171" t="s">
        <v>471</v>
      </c>
      <c r="B10" s="40">
        <f>'Step 4 Contract and Reserves'!B10</f>
        <v>17319704</v>
      </c>
      <c r="C10" s="40">
        <f>'Step 4 Contract and Reserves'!C10</f>
        <v>0</v>
      </c>
      <c r="D10" s="40">
        <f>'Step 4 Contract and Reserves'!D10</f>
        <v>0</v>
      </c>
      <c r="E10" s="647">
        <f>'Step 4 Contract and Reserves'!E10</f>
        <v>93096</v>
      </c>
      <c r="F10" s="40"/>
      <c r="G10" s="40">
        <f>'Step 4 Contract and Reserves'!G10</f>
        <v>0</v>
      </c>
      <c r="H10" s="40">
        <f>'Step 4 Contract and Reserves'!H10</f>
        <v>0</v>
      </c>
      <c r="I10" s="40">
        <f>'Step 4 Contract and Reserves'!I10</f>
        <v>0</v>
      </c>
      <c r="J10" s="40">
        <f>'Step 4 Contract and Reserves'!J10</f>
        <v>0</v>
      </c>
      <c r="K10" s="40"/>
      <c r="L10" s="40">
        <f>'Step 4 Contract and Reserves'!L10</f>
        <v>0</v>
      </c>
      <c r="M10" s="40"/>
      <c r="N10" s="44"/>
      <c r="O10" s="40">
        <f>'Step 4 Contract and Reserves'!O10</f>
        <v>0</v>
      </c>
      <c r="P10" s="40">
        <f>'Step 4 Contract and Reserves'!P10</f>
        <v>2324298</v>
      </c>
      <c r="R10" s="40">
        <f t="shared" si="0"/>
        <v>19737098</v>
      </c>
      <c r="S10" s="161"/>
      <c r="T10" s="40">
        <v>18178922</v>
      </c>
    </row>
    <row r="11" spans="1:25">
      <c r="A11" s="171" t="s">
        <v>472</v>
      </c>
      <c r="B11" s="40">
        <f>'Step 4 Contract and Reserves'!B11</f>
        <v>4500000</v>
      </c>
      <c r="C11" s="40">
        <f>'Step 4 Contract and Reserves'!C11</f>
        <v>0</v>
      </c>
      <c r="D11" s="40">
        <f>'Step 4 Contract and Reserves'!D11</f>
        <v>0</v>
      </c>
      <c r="E11" s="40">
        <f>'Step 4 Contract and Reserves'!E11</f>
        <v>0</v>
      </c>
      <c r="F11" s="40"/>
      <c r="G11" s="40">
        <f>'Step 4 Contract and Reserves'!G11</f>
        <v>0</v>
      </c>
      <c r="H11" s="40">
        <f>'Step 4 Contract and Reserves'!H11</f>
        <v>0</v>
      </c>
      <c r="I11" s="40">
        <f>'Step 4 Contract and Reserves'!I11</f>
        <v>0</v>
      </c>
      <c r="J11" s="40">
        <f>'Step 4 Contract and Reserves'!J11</f>
        <v>0</v>
      </c>
      <c r="K11" s="40"/>
      <c r="L11" s="40">
        <f>'Step 4 Contract and Reserves'!L11</f>
        <v>0</v>
      </c>
      <c r="M11" s="40"/>
      <c r="N11" s="44"/>
      <c r="O11" s="40">
        <f>'Step 4 Contract and Reserves'!O11</f>
        <v>0</v>
      </c>
      <c r="P11" s="40">
        <f>'Step 4 Contract and Reserves'!P11</f>
        <v>0</v>
      </c>
      <c r="R11" s="40">
        <f t="shared" si="0"/>
        <v>4500000</v>
      </c>
      <c r="S11" s="161"/>
      <c r="T11" s="40">
        <v>4150000</v>
      </c>
    </row>
    <row r="12" spans="1:25">
      <c r="A12" s="171" t="s">
        <v>473</v>
      </c>
      <c r="B12" s="40">
        <f>'Step 4 Contract and Reserves'!B12</f>
        <v>21461646.77</v>
      </c>
      <c r="C12" s="40">
        <f>'Step 4 Contract and Reserves'!C12</f>
        <v>0</v>
      </c>
      <c r="D12" s="40">
        <f>'Step 4 Contract and Reserves'!D12</f>
        <v>0</v>
      </c>
      <c r="E12" s="40">
        <f>'Step 4 Contract and Reserves'!E12</f>
        <v>0</v>
      </c>
      <c r="F12" s="40"/>
      <c r="G12" s="40">
        <f>'Step 4 Contract and Reserves'!G12</f>
        <v>0</v>
      </c>
      <c r="H12" s="40">
        <f>'Step 4 Contract and Reserves'!H12</f>
        <v>0</v>
      </c>
      <c r="I12" s="40">
        <f>'Step 4 Contract and Reserves'!I12</f>
        <v>0</v>
      </c>
      <c r="J12" s="40">
        <f>'Step 4 Contract and Reserves'!J12</f>
        <v>0</v>
      </c>
      <c r="K12" s="40"/>
      <c r="L12" s="40">
        <f>'Step 4 Contract and Reserves'!L12</f>
        <v>0</v>
      </c>
      <c r="M12" s="40"/>
      <c r="N12" s="44"/>
      <c r="O12" s="40">
        <f>'Step 4 Contract and Reserves'!O12</f>
        <v>0</v>
      </c>
      <c r="P12" s="40">
        <f>'Step 4 Contract and Reserves'!P12</f>
        <v>3600000</v>
      </c>
      <c r="R12" s="40">
        <f t="shared" si="0"/>
        <v>25061646.77</v>
      </c>
      <c r="S12" s="161"/>
      <c r="T12" s="40">
        <v>26139223</v>
      </c>
    </row>
    <row r="13" spans="1:25">
      <c r="A13" s="162"/>
      <c r="B13" s="44"/>
      <c r="C13" s="44"/>
      <c r="D13" s="44"/>
      <c r="E13" s="44"/>
      <c r="F13" s="44"/>
      <c r="G13" s="44"/>
      <c r="H13" s="44"/>
      <c r="I13" s="44"/>
      <c r="J13" s="44"/>
      <c r="K13" s="44"/>
      <c r="L13" s="44"/>
      <c r="M13" s="44"/>
      <c r="N13" s="44"/>
      <c r="O13" s="44"/>
      <c r="P13" s="44"/>
      <c r="R13" s="44"/>
      <c r="S13" s="162"/>
      <c r="T13" s="44"/>
    </row>
    <row r="14" spans="1:25">
      <c r="A14" s="47" t="s">
        <v>71</v>
      </c>
      <c r="B14" s="33"/>
      <c r="C14" s="33"/>
      <c r="D14" s="33"/>
      <c r="E14" s="33"/>
      <c r="F14" s="33"/>
      <c r="G14" s="33"/>
      <c r="H14" s="33"/>
      <c r="I14" s="33"/>
      <c r="J14" s="33"/>
      <c r="K14" s="33"/>
      <c r="L14" s="33"/>
      <c r="M14" s="33"/>
      <c r="N14" s="45"/>
      <c r="O14" s="33"/>
      <c r="P14" s="33"/>
      <c r="R14" s="44"/>
      <c r="S14" s="162"/>
      <c r="T14" s="33"/>
    </row>
    <row r="15" spans="1:25">
      <c r="A15" s="1280" t="s">
        <v>1316</v>
      </c>
      <c r="B15" s="50">
        <f>'Step 3 Acad Product &amp; Pools'!B15</f>
        <v>0</v>
      </c>
      <c r="C15" s="50">
        <f>'Step 3 Acad Product &amp; Pools'!C15</f>
        <v>0</v>
      </c>
      <c r="D15" s="50"/>
      <c r="E15" s="50">
        <f>'Step 3 Acad Product &amp; Pools'!E15</f>
        <v>0</v>
      </c>
      <c r="F15" s="50"/>
      <c r="G15" s="50">
        <f>'Step 3 Acad Product &amp; Pools'!G15</f>
        <v>0</v>
      </c>
      <c r="H15" s="50">
        <f>'Step 3 Acad Product &amp; Pools'!H15</f>
        <v>0</v>
      </c>
      <c r="I15" s="50">
        <f>'Step 3 Acad Product &amp; Pools'!I15</f>
        <v>0</v>
      </c>
      <c r="J15" s="50">
        <f>'Step 3 Acad Product &amp; Pools'!J15</f>
        <v>0</v>
      </c>
      <c r="K15" s="50"/>
      <c r="L15" s="50">
        <f>SUM('Step 3 Acad Product &amp; Pools'!L15:Q15)</f>
        <v>0</v>
      </c>
      <c r="M15" s="33"/>
      <c r="N15" s="45"/>
      <c r="O15" s="33"/>
      <c r="P15" s="33"/>
      <c r="R15" s="33"/>
      <c r="S15" s="161"/>
      <c r="T15" s="1824"/>
      <c r="Y15" s="1093"/>
    </row>
    <row r="16" spans="1:25" ht="16.5" thickBot="1">
      <c r="A16" s="173" t="s">
        <v>72</v>
      </c>
      <c r="B16" s="40">
        <f>'Step 4 Contract and Reserves'!B16</f>
        <v>0</v>
      </c>
      <c r="C16" s="40">
        <f>'Step 3 Acad Product &amp; Pools'!C16</f>
        <v>0</v>
      </c>
      <c r="D16" s="40"/>
      <c r="E16" s="40">
        <f>'Step 4 Contract and Reserves'!E16</f>
        <v>0</v>
      </c>
      <c r="F16" s="40"/>
      <c r="G16" s="40">
        <f>'Step 4 Contract and Reserves'!G16</f>
        <v>0</v>
      </c>
      <c r="H16" s="40">
        <f>'Step 4 Contract and Reserves'!H16</f>
        <v>0</v>
      </c>
      <c r="I16" s="40">
        <f>'Step 4 Contract and Reserves'!I16</f>
        <v>0</v>
      </c>
      <c r="J16" s="40">
        <f>'Step 4 Contract and Reserves'!J16</f>
        <v>0</v>
      </c>
      <c r="K16" s="40"/>
      <c r="L16" s="372">
        <f>'Step 4 Contract and Reserves'!L16</f>
        <v>21402274.354946967</v>
      </c>
      <c r="M16" s="372"/>
      <c r="N16" s="44"/>
      <c r="O16" s="372">
        <f>'Step 1 Dedicated Funds'!N16</f>
        <v>-114722.94</v>
      </c>
      <c r="P16" s="372">
        <f>SUM('Step 1 Dedicated Funds'!O16:T16)</f>
        <v>3450310</v>
      </c>
      <c r="R16" s="40">
        <f t="shared" ref="R16:R34" si="1">SUM(B16:P16)</f>
        <v>24737861.414946966</v>
      </c>
      <c r="S16" s="162"/>
      <c r="T16" s="40">
        <v>23993241</v>
      </c>
      <c r="V16" s="161" t="s">
        <v>1332</v>
      </c>
      <c r="W16" s="161"/>
    </row>
    <row r="17" spans="1:25">
      <c r="A17" s="49" t="s">
        <v>73</v>
      </c>
      <c r="B17" s="44">
        <f>'Step 4 Contract and Reserves'!B17</f>
        <v>0</v>
      </c>
      <c r="C17" s="44">
        <f>'Step 3 Acad Product &amp; Pools'!C17</f>
        <v>0</v>
      </c>
      <c r="D17" s="44"/>
      <c r="E17" s="44">
        <f>'Step 4 Contract and Reserves'!E17</f>
        <v>0</v>
      </c>
      <c r="F17" s="44"/>
      <c r="G17" s="44">
        <f>'Step 4 Contract and Reserves'!G17</f>
        <v>0</v>
      </c>
      <c r="H17" s="44">
        <f>'Step 4 Contract and Reserves'!H17</f>
        <v>0</v>
      </c>
      <c r="I17" s="44">
        <f>'Step 4 Contract and Reserves'!I17</f>
        <v>0</v>
      </c>
      <c r="J17" s="44">
        <f>'Step 4 Contract and Reserves'!J17</f>
        <v>0</v>
      </c>
      <c r="K17" s="44"/>
      <c r="L17" s="373">
        <f>'Step 4 Contract and Reserves'!L17</f>
        <v>20283312.929002929</v>
      </c>
      <c r="M17" s="373"/>
      <c r="N17" s="44"/>
      <c r="O17" s="373">
        <f>'Step 1 Dedicated Funds'!N17</f>
        <v>-40855.178</v>
      </c>
      <c r="P17" s="373">
        <f>SUM('Step 1 Dedicated Funds'!O17:T17)</f>
        <v>3083462.1521200002</v>
      </c>
      <c r="R17" s="44">
        <f t="shared" si="1"/>
        <v>23325919.903122932</v>
      </c>
      <c r="S17" s="162"/>
      <c r="T17" s="44">
        <v>21443844</v>
      </c>
      <c r="V17" s="299" t="s">
        <v>1304</v>
      </c>
      <c r="W17" s="1267"/>
    </row>
    <row r="18" spans="1:25">
      <c r="A18" s="172" t="s">
        <v>74</v>
      </c>
      <c r="B18" s="44">
        <f>'Step 4 Contract and Reserves'!B18</f>
        <v>0</v>
      </c>
      <c r="C18" s="44">
        <f>'Step 3 Acad Product &amp; Pools'!C18</f>
        <v>0</v>
      </c>
      <c r="D18" s="44"/>
      <c r="E18" s="44">
        <f>'Step 4 Contract and Reserves'!E18</f>
        <v>0</v>
      </c>
      <c r="F18" s="44"/>
      <c r="G18" s="44">
        <f>'Step 4 Contract and Reserves'!G18</f>
        <v>0</v>
      </c>
      <c r="H18" s="44">
        <f>'Step 4 Contract and Reserves'!H18</f>
        <v>0</v>
      </c>
      <c r="I18" s="44">
        <f>'Step 4 Contract and Reserves'!I18</f>
        <v>0</v>
      </c>
      <c r="J18" s="44">
        <f>'Step 4 Contract and Reserves'!J18</f>
        <v>0</v>
      </c>
      <c r="K18" s="44"/>
      <c r="L18" s="373">
        <f>'Step 4 Contract and Reserves'!L18</f>
        <v>48192990.868868649</v>
      </c>
      <c r="M18" s="373"/>
      <c r="N18" s="44"/>
      <c r="O18" s="373">
        <f>'Step 1 Dedicated Funds'!N18</f>
        <v>-646197.82200000004</v>
      </c>
      <c r="P18" s="373">
        <f>SUM('Step 1 Dedicated Funds'!O18:T18)</f>
        <v>20864384.166999999</v>
      </c>
      <c r="R18" s="44">
        <f t="shared" si="1"/>
        <v>68411177.213868648</v>
      </c>
      <c r="S18" s="162"/>
      <c r="T18" s="44">
        <v>67030706</v>
      </c>
      <c r="V18" s="1268" t="s">
        <v>1949</v>
      </c>
      <c r="W18" s="1876">
        <v>8681332</v>
      </c>
    </row>
    <row r="19" spans="1:25">
      <c r="A19" s="173" t="s">
        <v>75</v>
      </c>
      <c r="B19" s="40">
        <f>'Step 4 Contract and Reserves'!B19</f>
        <v>0</v>
      </c>
      <c r="C19" s="40">
        <f>'Step 3 Acad Product &amp; Pools'!C19</f>
        <v>0</v>
      </c>
      <c r="D19" s="40"/>
      <c r="E19" s="1628">
        <f>'Step 4 Contract and Reserves'!E19</f>
        <v>737700</v>
      </c>
      <c r="F19" s="40"/>
      <c r="G19" s="40">
        <f>'Step 4 Contract and Reserves'!G19</f>
        <v>0</v>
      </c>
      <c r="H19" s="40">
        <f>'Step 4 Contract and Reserves'!H19</f>
        <v>0</v>
      </c>
      <c r="I19" s="40">
        <f>'Step 4 Contract and Reserves'!I19</f>
        <v>0</v>
      </c>
      <c r="J19" s="40">
        <f>'Step 4 Contract and Reserves'!J19</f>
        <v>0</v>
      </c>
      <c r="K19" s="40"/>
      <c r="L19" s="372">
        <f>'Step 4 Contract and Reserves'!L19</f>
        <v>5566714.5894065304</v>
      </c>
      <c r="M19" s="372"/>
      <c r="N19" s="44"/>
      <c r="O19" s="372">
        <f>'Step 1 Dedicated Funds'!N19</f>
        <v>-190577.89799999999</v>
      </c>
      <c r="P19" s="372">
        <f>SUM('Step 1 Dedicated Funds'!O19:T19)</f>
        <v>3115689.2800000003</v>
      </c>
      <c r="R19" s="40">
        <f t="shared" si="1"/>
        <v>9229525.9714065306</v>
      </c>
      <c r="S19" s="162"/>
      <c r="T19" s="40">
        <v>9423979</v>
      </c>
      <c r="V19" s="1268" t="s">
        <v>1780</v>
      </c>
      <c r="W19" s="1269"/>
    </row>
    <row r="20" spans="1:25">
      <c r="A20" s="49" t="s">
        <v>76</v>
      </c>
      <c r="B20" s="44">
        <f>'Step 4 Contract and Reserves'!B20</f>
        <v>0</v>
      </c>
      <c r="C20" s="44">
        <f>300000+300000+250000</f>
        <v>850000</v>
      </c>
      <c r="D20" s="44"/>
      <c r="E20" s="44">
        <f>'Step 4 Contract and Reserves'!E20</f>
        <v>0</v>
      </c>
      <c r="F20" s="44"/>
      <c r="G20" s="44">
        <f>'Step 4 Contract and Reserves'!G20</f>
        <v>0</v>
      </c>
      <c r="H20" s="44">
        <f>'Step 4 Contract and Reserves'!H20</f>
        <v>0</v>
      </c>
      <c r="I20" s="44">
        <f>'Step 4 Contract and Reserves'!I20</f>
        <v>0</v>
      </c>
      <c r="J20" s="44">
        <f>'Step 4 Contract and Reserves'!J20</f>
        <v>0</v>
      </c>
      <c r="K20" s="44"/>
      <c r="L20" s="373">
        <f>'Step 4 Contract and Reserves'!L20</f>
        <v>16384842.476953281</v>
      </c>
      <c r="M20" s="373"/>
      <c r="N20" s="44"/>
      <c r="O20" s="373">
        <f>'Step 1 Dedicated Funds'!N20</f>
        <v>-102703.046</v>
      </c>
      <c r="P20" s="373">
        <f>SUM('Step 1 Dedicated Funds'!O20:T20)</f>
        <v>2532465.1984000001</v>
      </c>
      <c r="R20" s="44">
        <f t="shared" si="1"/>
        <v>19664604.629353285</v>
      </c>
      <c r="S20" s="162"/>
      <c r="T20" s="44">
        <v>20386034</v>
      </c>
      <c r="V20" s="1268"/>
      <c r="W20" s="1269"/>
    </row>
    <row r="21" spans="1:25">
      <c r="A21" s="172" t="s">
        <v>77</v>
      </c>
      <c r="B21" s="44">
        <f>'Step 4 Contract and Reserves'!B21</f>
        <v>0</v>
      </c>
      <c r="C21" s="44"/>
      <c r="D21" s="44"/>
      <c r="E21" s="1629">
        <f>'Step 4 Contract and Reserves'!E21</f>
        <v>245900</v>
      </c>
      <c r="F21" s="44"/>
      <c r="G21" s="44">
        <f>'Step 4 Contract and Reserves'!G21</f>
        <v>0</v>
      </c>
      <c r="H21" s="44">
        <f>'Step 4 Contract and Reserves'!H21</f>
        <v>0</v>
      </c>
      <c r="I21" s="44">
        <f>'Step 4 Contract and Reserves'!I21</f>
        <v>0</v>
      </c>
      <c r="J21" s="44">
        <f>'Step 4 Contract and Reserves'!J21</f>
        <v>0</v>
      </c>
      <c r="K21" s="44"/>
      <c r="L21" s="373">
        <f>'Step 4 Contract and Reserves'!L21</f>
        <v>5203260.0972967809</v>
      </c>
      <c r="M21" s="373"/>
      <c r="N21" s="44"/>
      <c r="O21" s="373">
        <f>'Step 1 Dedicated Funds'!N21</f>
        <v>-7400</v>
      </c>
      <c r="P21" s="373">
        <f>SUM('Step 1 Dedicated Funds'!O21:T21)</f>
        <v>120000</v>
      </c>
      <c r="R21" s="44">
        <f t="shared" si="1"/>
        <v>5561760.0972967809</v>
      </c>
      <c r="S21" s="162"/>
      <c r="T21" s="44">
        <v>5442006</v>
      </c>
      <c r="V21" s="1268"/>
      <c r="W21" s="1269"/>
    </row>
    <row r="22" spans="1:25">
      <c r="A22" s="173" t="s">
        <v>78</v>
      </c>
      <c r="B22" s="40">
        <f>'Step 4 Contract and Reserves'!B22</f>
        <v>0</v>
      </c>
      <c r="C22" s="40">
        <f>300000-300000</f>
        <v>0</v>
      </c>
      <c r="D22" s="40"/>
      <c r="E22" s="40">
        <f>'Step 4 Contract and Reserves'!E22</f>
        <v>0</v>
      </c>
      <c r="F22" s="40"/>
      <c r="G22" s="40">
        <f>'Step 4 Contract and Reserves'!G22</f>
        <v>0</v>
      </c>
      <c r="H22" s="40">
        <f>'Step 4 Contract and Reserves'!H22</f>
        <v>0</v>
      </c>
      <c r="I22" s="40">
        <f>'Step 4 Contract and Reserves'!I22</f>
        <v>0</v>
      </c>
      <c r="J22" s="40">
        <f>'Step 4 Contract and Reserves'!J22</f>
        <v>0</v>
      </c>
      <c r="K22" s="40"/>
      <c r="L22" s="372">
        <f>'Step 4 Contract and Reserves'!L22</f>
        <v>43078927.073671438</v>
      </c>
      <c r="M22" s="372"/>
      <c r="N22" s="44"/>
      <c r="O22" s="372">
        <f>'Step 1 Dedicated Funds'!N22</f>
        <v>-128220.466</v>
      </c>
      <c r="P22" s="372">
        <f>SUM('Step 1 Dedicated Funds'!O22:T22)</f>
        <v>1812709</v>
      </c>
      <c r="R22" s="40">
        <f t="shared" si="1"/>
        <v>44763415.60767144</v>
      </c>
      <c r="S22" s="162"/>
      <c r="T22" s="40">
        <v>44094814</v>
      </c>
      <c r="V22" s="1268" t="s">
        <v>1866</v>
      </c>
      <c r="W22" s="1269">
        <v>56613</v>
      </c>
    </row>
    <row r="23" spans="1:25">
      <c r="A23" s="172" t="s">
        <v>79</v>
      </c>
      <c r="B23" s="44">
        <f>'Step 4 Contract and Reserves'!B23</f>
        <v>0</v>
      </c>
      <c r="C23" s="44">
        <v>10875</v>
      </c>
      <c r="D23" s="44"/>
      <c r="E23" s="1629">
        <f>'Step 4 Contract and Reserves'!E23</f>
        <v>2557360</v>
      </c>
      <c r="F23" s="44"/>
      <c r="G23" s="44">
        <f>'Step 4 Contract and Reserves'!G23</f>
        <v>0</v>
      </c>
      <c r="H23" s="44">
        <f>'Step 4 Contract and Reserves'!H23</f>
        <v>0</v>
      </c>
      <c r="I23" s="44">
        <f>'Step 4 Contract and Reserves'!I23</f>
        <v>0</v>
      </c>
      <c r="J23" s="44">
        <f>'Step 4 Contract and Reserves'!J23</f>
        <v>0</v>
      </c>
      <c r="K23" s="44"/>
      <c r="L23" s="373">
        <f>'Step 4 Contract and Reserves'!L23</f>
        <v>8417663.6895338055</v>
      </c>
      <c r="M23" s="373"/>
      <c r="N23" s="44"/>
      <c r="O23" s="373">
        <f>'Step 1 Dedicated Funds'!N23</f>
        <v>41103.077999999994</v>
      </c>
      <c r="P23" s="373">
        <f>SUM('Step 1 Dedicated Funds'!O23:T23)</f>
        <v>6444553</v>
      </c>
      <c r="R23" s="44">
        <f t="shared" si="1"/>
        <v>17471554.767533805</v>
      </c>
      <c r="S23" s="162"/>
      <c r="T23" s="44">
        <v>18750980</v>
      </c>
      <c r="V23" s="1268" t="s">
        <v>1305</v>
      </c>
      <c r="W23" s="1876">
        <f>W80</f>
        <v>208000</v>
      </c>
    </row>
    <row r="24" spans="1:25">
      <c r="A24" s="172" t="s">
        <v>80</v>
      </c>
      <c r="B24" s="50">
        <f>'Step 4 Contract and Reserves'!B24</f>
        <v>0</v>
      </c>
      <c r="C24" s="50"/>
      <c r="D24" s="50"/>
      <c r="E24" s="1630">
        <f>'Step 4 Contract and Reserves'!E24</f>
        <v>2881948</v>
      </c>
      <c r="F24" s="50"/>
      <c r="G24" s="50">
        <f>'Step 4 Contract and Reserves'!G24</f>
        <v>0</v>
      </c>
      <c r="H24" s="50">
        <f>'Step 4 Contract and Reserves'!H24</f>
        <v>0</v>
      </c>
      <c r="I24" s="50">
        <f>'Step 4 Contract and Reserves'!I24</f>
        <v>0</v>
      </c>
      <c r="J24" s="50">
        <f>'Step 4 Contract and Reserves'!J24</f>
        <v>0</v>
      </c>
      <c r="K24" s="50"/>
      <c r="L24" s="374">
        <f>'Step 4 Contract and Reserves'!L24</f>
        <v>3942909.4588813232</v>
      </c>
      <c r="M24" s="374"/>
      <c r="N24" s="50"/>
      <c r="O24" s="374">
        <f>'Step 1 Dedicated Funds'!N24</f>
        <v>-113642.39199999999</v>
      </c>
      <c r="P24" s="374">
        <f>SUM('Step 1 Dedicated Funds'!O24:T24)</f>
        <v>5926242.0006117597</v>
      </c>
      <c r="R24" s="50">
        <f t="shared" si="1"/>
        <v>12637457.067493083</v>
      </c>
      <c r="S24" s="162"/>
      <c r="T24" s="50">
        <v>12570093</v>
      </c>
      <c r="V24" s="1268" t="s">
        <v>1945</v>
      </c>
      <c r="W24" s="1876">
        <f>+X80</f>
        <v>118000</v>
      </c>
    </row>
    <row r="25" spans="1:25">
      <c r="A25" s="173" t="s">
        <v>81</v>
      </c>
      <c r="B25" s="40">
        <f>'Step 4 Contract and Reserves'!B25</f>
        <v>0</v>
      </c>
      <c r="C25" s="40">
        <f>750000+19226-19226</f>
        <v>750000</v>
      </c>
      <c r="D25" s="40"/>
      <c r="E25" s="1628">
        <f>'Step 4 Contract and Reserves'!E25</f>
        <v>0</v>
      </c>
      <c r="F25" s="40"/>
      <c r="G25" s="40">
        <f>'Step 4 Contract and Reserves'!G25</f>
        <v>0</v>
      </c>
      <c r="H25" s="40">
        <f>'Step 4 Contract and Reserves'!H25</f>
        <v>0</v>
      </c>
      <c r="I25" s="40">
        <f>'Step 4 Contract and Reserves'!I25</f>
        <v>0</v>
      </c>
      <c r="J25" s="40">
        <f>'Step 4 Contract and Reserves'!J25</f>
        <v>0</v>
      </c>
      <c r="K25" s="40"/>
      <c r="L25" s="372">
        <f>'Step 4 Contract and Reserves'!L25</f>
        <v>40370323.774424858</v>
      </c>
      <c r="M25" s="372"/>
      <c r="N25" s="44"/>
      <c r="O25" s="372">
        <f>'Step 1 Dedicated Funds'!N25</f>
        <v>-118488.57799999999</v>
      </c>
      <c r="P25" s="372">
        <f>SUM('Step 1 Dedicated Funds'!O25:T25)</f>
        <v>2401197</v>
      </c>
      <c r="R25" s="40">
        <f t="shared" si="1"/>
        <v>43403032.196424857</v>
      </c>
      <c r="S25" s="162"/>
      <c r="T25" s="40">
        <v>43664480</v>
      </c>
      <c r="V25" s="1268" t="s">
        <v>1946</v>
      </c>
      <c r="W25" s="1876">
        <f>+Y80</f>
        <v>-118200</v>
      </c>
    </row>
    <row r="26" spans="1:25">
      <c r="A26" s="172" t="s">
        <v>82</v>
      </c>
      <c r="B26" s="50">
        <f>'Step 4 Contract and Reserves'!B26</f>
        <v>0</v>
      </c>
      <c r="C26" s="50">
        <f>120828+79163</f>
        <v>199991</v>
      </c>
      <c r="D26" s="50"/>
      <c r="E26" s="1630">
        <f>'Step 4 Contract and Reserves'!E26</f>
        <v>7091756</v>
      </c>
      <c r="F26" s="50"/>
      <c r="G26" s="50">
        <f>'Step 4 Contract and Reserves'!G26</f>
        <v>0</v>
      </c>
      <c r="H26" s="50">
        <f>'Step 4 Contract and Reserves'!H26</f>
        <v>0</v>
      </c>
      <c r="I26" s="50">
        <f>'Step 4 Contract and Reserves'!I26</f>
        <v>0</v>
      </c>
      <c r="J26" s="50">
        <f>'Step 4 Contract and Reserves'!J26</f>
        <v>0</v>
      </c>
      <c r="K26" s="50"/>
      <c r="L26" s="374">
        <f>'Step 4 Contract and Reserves'!L26</f>
        <v>2871875.9978878237</v>
      </c>
      <c r="M26" s="374"/>
      <c r="N26" s="50"/>
      <c r="O26" s="374">
        <f>'Step 1 Dedicated Funds'!N26</f>
        <v>-1077566.7620000001</v>
      </c>
      <c r="P26" s="374">
        <f>SUM('Step 1 Dedicated Funds'!O26:T26)</f>
        <v>18351078.989631999</v>
      </c>
      <c r="R26" s="50">
        <f t="shared" si="1"/>
        <v>27437135.225519821</v>
      </c>
      <c r="S26" s="162"/>
      <c r="T26" s="50">
        <v>26260862</v>
      </c>
      <c r="V26" s="1268" t="s">
        <v>1969</v>
      </c>
      <c r="W26" s="1876">
        <v>15000</v>
      </c>
    </row>
    <row r="27" spans="1:25">
      <c r="A27" s="172" t="s">
        <v>83</v>
      </c>
      <c r="B27" s="44">
        <f>'Step 4 Contract and Reserves'!B27</f>
        <v>0</v>
      </c>
      <c r="C27" s="44"/>
      <c r="D27" s="44"/>
      <c r="E27" s="1629">
        <f>'Step 4 Contract and Reserves'!E27</f>
        <v>0</v>
      </c>
      <c r="F27" s="44"/>
      <c r="G27" s="44">
        <f>'Step 4 Contract and Reserves'!G27</f>
        <v>0</v>
      </c>
      <c r="H27" s="44">
        <f>'Step 4 Contract and Reserves'!H27</f>
        <v>0</v>
      </c>
      <c r="I27" s="44">
        <f>'Step 4 Contract and Reserves'!I27</f>
        <v>0</v>
      </c>
      <c r="J27" s="44">
        <f>'Step 4 Contract and Reserves'!J27</f>
        <v>0</v>
      </c>
      <c r="K27" s="44"/>
      <c r="L27" s="373">
        <f>'Step 4 Contract and Reserves'!L27</f>
        <v>0</v>
      </c>
      <c r="M27" s="373"/>
      <c r="N27" s="44"/>
      <c r="O27" s="373">
        <f>'Step 1 Dedicated Funds'!N27</f>
        <v>0</v>
      </c>
      <c r="P27" s="373">
        <f>SUM('Step 1 Dedicated Funds'!O27:T27)</f>
        <v>0</v>
      </c>
      <c r="R27" s="44">
        <f t="shared" si="1"/>
        <v>0</v>
      </c>
      <c r="S27" s="162"/>
      <c r="T27" s="44">
        <v>0</v>
      </c>
      <c r="V27" s="1398"/>
      <c r="W27" s="1269"/>
    </row>
    <row r="28" spans="1:25" ht="16.5" thickBot="1">
      <c r="A28" s="173" t="s">
        <v>84</v>
      </c>
      <c r="B28" s="40">
        <f>'Step 4 Contract and Reserves'!B28</f>
        <v>0</v>
      </c>
      <c r="C28" s="40"/>
      <c r="D28" s="40"/>
      <c r="E28" s="1628">
        <f>'Step 4 Contract and Reserves'!E28</f>
        <v>230000</v>
      </c>
      <c r="F28" s="40"/>
      <c r="G28" s="40">
        <f>'Step 4 Contract and Reserves'!G28</f>
        <v>0</v>
      </c>
      <c r="H28" s="40">
        <f>'Step 4 Contract and Reserves'!H28</f>
        <v>0</v>
      </c>
      <c r="I28" s="40">
        <f>'Step 4 Contract and Reserves'!I28</f>
        <v>0</v>
      </c>
      <c r="J28" s="40">
        <f>'Step 4 Contract and Reserves'!J28</f>
        <v>0</v>
      </c>
      <c r="K28" s="40"/>
      <c r="L28" s="372">
        <f>'Step 4 Contract and Reserves'!L28</f>
        <v>841966.8793919452</v>
      </c>
      <c r="M28" s="372"/>
      <c r="N28" s="44"/>
      <c r="O28" s="372">
        <f>'Step 1 Dedicated Funds'!N28</f>
        <v>-22200</v>
      </c>
      <c r="P28" s="372">
        <f>SUM('Step 1 Dedicated Funds'!O28:T28)</f>
        <v>2010259.38</v>
      </c>
      <c r="R28" s="40">
        <f t="shared" si="1"/>
        <v>3060026.2593919449</v>
      </c>
      <c r="S28" s="162"/>
      <c r="T28" s="40">
        <v>2999580</v>
      </c>
      <c r="V28" s="1270" t="s">
        <v>1306</v>
      </c>
      <c r="W28" s="1314">
        <f>SUM(W18:W27)</f>
        <v>8960745</v>
      </c>
      <c r="X28" s="1306"/>
      <c r="Y28" s="1027"/>
    </row>
    <row r="29" spans="1:25" ht="16.5" thickBot="1">
      <c r="A29" s="49" t="s">
        <v>86</v>
      </c>
      <c r="B29" s="50">
        <f>'Step 4 Contract and Reserves'!B29</f>
        <v>0</v>
      </c>
      <c r="C29" s="50"/>
      <c r="D29" s="50"/>
      <c r="E29" s="1630">
        <f>'Step 4 Contract and Reserves'!E29</f>
        <v>0</v>
      </c>
      <c r="F29" s="50"/>
      <c r="G29" s="50">
        <f>'Step 4 Contract and Reserves'!G29</f>
        <v>0</v>
      </c>
      <c r="H29" s="50">
        <f>'Step 4 Contract and Reserves'!H29</f>
        <v>0</v>
      </c>
      <c r="I29" s="50">
        <f>'Step 4 Contract and Reserves'!I29</f>
        <v>0</v>
      </c>
      <c r="J29" s="50">
        <f>'Step 4 Contract and Reserves'!J29</f>
        <v>0</v>
      </c>
      <c r="K29" s="50"/>
      <c r="L29" s="50">
        <f>'Step 4 Contract and Reserves'!L29</f>
        <v>0</v>
      </c>
      <c r="M29" s="50"/>
      <c r="N29" s="50"/>
      <c r="O29" s="50">
        <f>'Step 1 Dedicated Funds'!N29</f>
        <v>0</v>
      </c>
      <c r="P29" s="50">
        <f>SUM('Step 1 Dedicated Funds'!O29:T29)</f>
        <v>21222276</v>
      </c>
      <c r="Q29" s="42"/>
      <c r="R29" s="50">
        <f t="shared" si="1"/>
        <v>21222276</v>
      </c>
      <c r="S29" s="162"/>
      <c r="T29" s="50">
        <v>19821377</v>
      </c>
    </row>
    <row r="30" spans="1:25">
      <c r="A30" s="172" t="s">
        <v>87</v>
      </c>
      <c r="B30" s="44">
        <f>'Step 4 Contract and Reserves'!B30</f>
        <v>0</v>
      </c>
      <c r="C30" s="44"/>
      <c r="D30" s="44"/>
      <c r="E30" s="1629">
        <f>'Step 4 Contract and Reserves'!E30</f>
        <v>0</v>
      </c>
      <c r="F30" s="44"/>
      <c r="G30" s="44">
        <f>'Step 4 Contract and Reserves'!G30</f>
        <v>0</v>
      </c>
      <c r="H30" s="44">
        <f>'Step 4 Contract and Reserves'!H30</f>
        <v>0</v>
      </c>
      <c r="I30" s="44">
        <f>'Step 4 Contract and Reserves'!I30</f>
        <v>0</v>
      </c>
      <c r="J30" s="44">
        <f>'Step 4 Contract and Reserves'!J30</f>
        <v>0</v>
      </c>
      <c r="K30" s="44"/>
      <c r="L30" s="44">
        <f>'Step 4 Contract and Reserves'!L30</f>
        <v>0</v>
      </c>
      <c r="M30" s="44"/>
      <c r="N30" s="44"/>
      <c r="O30" s="44">
        <f>'Step 1 Dedicated Funds'!N30</f>
        <v>0</v>
      </c>
      <c r="P30" s="44">
        <f>SUM('Step 1 Dedicated Funds'!O30:T30)</f>
        <v>5263200</v>
      </c>
      <c r="Q30" s="42"/>
      <c r="R30" s="44">
        <f t="shared" si="1"/>
        <v>5263200</v>
      </c>
      <c r="S30" s="162"/>
      <c r="T30" s="44">
        <v>3440000</v>
      </c>
      <c r="V30" s="1272" t="s">
        <v>1307</v>
      </c>
      <c r="W30" s="391"/>
    </row>
    <row r="31" spans="1:25">
      <c r="A31" s="359" t="s">
        <v>452</v>
      </c>
      <c r="B31" s="221">
        <f>'Step 4 Contract and Reserves'!B31</f>
        <v>0</v>
      </c>
      <c r="C31" s="221"/>
      <c r="D31" s="221"/>
      <c r="E31" s="1631">
        <f>'Step 4 Contract and Reserves'!E31</f>
        <v>0</v>
      </c>
      <c r="F31" s="221"/>
      <c r="G31" s="221">
        <f>'Step 4 Contract and Reserves'!G31</f>
        <v>0</v>
      </c>
      <c r="H31" s="221">
        <f>'Step 4 Contract and Reserves'!H31</f>
        <v>0</v>
      </c>
      <c r="I31" s="221">
        <f>'Step 4 Contract and Reserves'!I31</f>
        <v>0</v>
      </c>
      <c r="J31" s="221">
        <f>'Step 4 Contract and Reserves'!J31</f>
        <v>0</v>
      </c>
      <c r="K31" s="221"/>
      <c r="L31" s="221">
        <f>'Step 4 Contract and Reserves'!L31</f>
        <v>0</v>
      </c>
      <c r="M31" s="221"/>
      <c r="N31" s="44"/>
      <c r="O31" s="221">
        <f>'Step 1 Dedicated Funds'!N31</f>
        <v>0</v>
      </c>
      <c r="P31" s="221">
        <f>SUM('Step 1 Dedicated Funds'!O31:T31)</f>
        <v>0</v>
      </c>
      <c r="Q31" s="42"/>
      <c r="R31" s="221">
        <f t="shared" si="1"/>
        <v>0</v>
      </c>
      <c r="S31" s="162"/>
      <c r="T31" s="221">
        <v>816537</v>
      </c>
      <c r="V31" s="1268" t="s">
        <v>1781</v>
      </c>
      <c r="W31" s="1269">
        <f>1555540-42715</f>
        <v>1512825</v>
      </c>
    </row>
    <row r="32" spans="1:25">
      <c r="A32" s="358" t="s">
        <v>453</v>
      </c>
      <c r="B32" s="50">
        <f>'Step 4 Contract and Reserves'!B32</f>
        <v>0</v>
      </c>
      <c r="C32" s="50"/>
      <c r="D32" s="50"/>
      <c r="E32" s="1630">
        <f>'Step 4 Contract and Reserves'!E32</f>
        <v>0</v>
      </c>
      <c r="F32" s="50"/>
      <c r="G32" s="50">
        <f>'Step 4 Contract and Reserves'!G32</f>
        <v>0</v>
      </c>
      <c r="H32" s="50">
        <f>'Step 4 Contract and Reserves'!H32</f>
        <v>0</v>
      </c>
      <c r="I32" s="50">
        <f>'Step 4 Contract and Reserves'!I32</f>
        <v>0</v>
      </c>
      <c r="J32" s="50">
        <f>'Step 4 Contract and Reserves'!J32</f>
        <v>0</v>
      </c>
      <c r="K32" s="50"/>
      <c r="L32" s="50">
        <f>'Step 4 Contract and Reserves'!L32</f>
        <v>1155412.306081536</v>
      </c>
      <c r="M32" s="50"/>
      <c r="N32" s="50"/>
      <c r="O32" s="50">
        <f>'Step 1 Dedicated Funds'!N32</f>
        <v>0</v>
      </c>
      <c r="P32" s="50">
        <f>SUM('Step 1 Dedicated Funds'!O32:T32)</f>
        <v>0</v>
      </c>
      <c r="Q32" s="42"/>
      <c r="R32" s="50">
        <f t="shared" si="1"/>
        <v>1155412.306081536</v>
      </c>
      <c r="S32" s="162"/>
      <c r="T32" s="50">
        <v>957607</v>
      </c>
      <c r="V32" s="1268" t="s">
        <v>1782</v>
      </c>
      <c r="W32" s="1269">
        <f>-W68</f>
        <v>-517071</v>
      </c>
    </row>
    <row r="33" spans="1:25">
      <c r="A33" s="172" t="s">
        <v>88</v>
      </c>
      <c r="B33" s="44">
        <f>'Step 4 Contract and Reserves'!B33</f>
        <v>0</v>
      </c>
      <c r="C33" s="44"/>
      <c r="D33" s="44"/>
      <c r="E33" s="1629">
        <f>'Step 4 Contract and Reserves'!E33</f>
        <v>0</v>
      </c>
      <c r="F33" s="44"/>
      <c r="G33" s="44">
        <f>'Step 4 Contract and Reserves'!G33</f>
        <v>0</v>
      </c>
      <c r="H33" s="44">
        <f>'Step 4 Contract and Reserves'!H33</f>
        <v>0</v>
      </c>
      <c r="I33" s="44">
        <f>'Step 4 Contract and Reserves'!I33</f>
        <v>0</v>
      </c>
      <c r="J33" s="44">
        <f>'Step 4 Contract and Reserves'!J33</f>
        <v>0</v>
      </c>
      <c r="K33" s="44"/>
      <c r="L33" s="44">
        <f>'Step 4 Contract and Reserves'!L33</f>
        <v>1809.122006452656</v>
      </c>
      <c r="M33" s="44"/>
      <c r="N33" s="44"/>
      <c r="O33" s="44">
        <f>'Step 1 Dedicated Funds'!N33</f>
        <v>-19667.72</v>
      </c>
      <c r="P33" s="44">
        <f>SUM('Step 1 Dedicated Funds'!O33:T33)</f>
        <v>2897380</v>
      </c>
      <c r="Q33" s="42"/>
      <c r="R33" s="44">
        <f t="shared" si="1"/>
        <v>2879521.4020064524</v>
      </c>
      <c r="S33" s="162"/>
      <c r="T33" s="44">
        <v>14975151</v>
      </c>
      <c r="V33" s="1268" t="s">
        <v>1826</v>
      </c>
      <c r="W33" s="1269">
        <v>0</v>
      </c>
    </row>
    <row r="34" spans="1:25">
      <c r="A34" s="359" t="s">
        <v>89</v>
      </c>
      <c r="B34" s="221">
        <f>'Step 4 Contract and Reserves'!B34</f>
        <v>0</v>
      </c>
      <c r="C34" s="221"/>
      <c r="D34" s="221"/>
      <c r="E34" s="1631">
        <f>'Step 4 Contract and Reserves'!E34</f>
        <v>8262240</v>
      </c>
      <c r="F34" s="221"/>
      <c r="G34" s="221">
        <f>'Step 4 Contract and Reserves'!G34</f>
        <v>0</v>
      </c>
      <c r="H34" s="221">
        <f>'Step 4 Contract and Reserves'!H34</f>
        <v>0</v>
      </c>
      <c r="I34" s="221">
        <f>'Step 4 Contract and Reserves'!I34</f>
        <v>0</v>
      </c>
      <c r="J34" s="221">
        <f>'Step 4 Contract and Reserves'!J34</f>
        <v>0</v>
      </c>
      <c r="K34" s="221"/>
      <c r="L34" s="375">
        <f>'Step 4 Contract and Reserves'!L34</f>
        <v>829840.57305342832</v>
      </c>
      <c r="M34" s="375"/>
      <c r="N34" s="44"/>
      <c r="O34" s="375">
        <f>'Step 1 Dedicated Funds'!N34</f>
        <v>-102890.19200000001</v>
      </c>
      <c r="P34" s="375">
        <f>SUM('Step 1 Dedicated Funds'!O34:T34)</f>
        <v>2080908</v>
      </c>
      <c r="Q34" s="42"/>
      <c r="R34" s="221">
        <f t="shared" si="1"/>
        <v>11070098.381053429</v>
      </c>
      <c r="S34" s="162"/>
      <c r="T34" s="221">
        <v>11507823</v>
      </c>
      <c r="V34" s="1268" t="s">
        <v>1780</v>
      </c>
      <c r="W34" s="1269"/>
    </row>
    <row r="35" spans="1:25" ht="16.5" thickBot="1">
      <c r="A35" s="362" t="s">
        <v>90</v>
      </c>
      <c r="B35" s="363">
        <f>SUM(B16:B34)</f>
        <v>0</v>
      </c>
      <c r="C35" s="363">
        <f>SUM(C16:C34)</f>
        <v>1810866</v>
      </c>
      <c r="D35" s="363">
        <f>SUM(D16:D34)</f>
        <v>0</v>
      </c>
      <c r="E35" s="363">
        <f>SUM(E16:E34)</f>
        <v>22006904</v>
      </c>
      <c r="F35" s="363"/>
      <c r="G35" s="363">
        <f>SUM(G16:G34)</f>
        <v>0</v>
      </c>
      <c r="H35" s="363">
        <f>SUM(H16:H34)</f>
        <v>0</v>
      </c>
      <c r="I35" s="363">
        <f>SUM(I16:I34)</f>
        <v>0</v>
      </c>
      <c r="J35" s="363">
        <f>SUM(J16:J34)</f>
        <v>0</v>
      </c>
      <c r="K35" s="363"/>
      <c r="L35" s="363">
        <f>SUM(L16:L34)</f>
        <v>218544124.19140771</v>
      </c>
      <c r="M35" s="363">
        <f>SUM(M16:M34)</f>
        <v>0</v>
      </c>
      <c r="N35" s="363"/>
      <c r="O35" s="363">
        <f>SUM(O16:O34)</f>
        <v>-2644029.9160000002</v>
      </c>
      <c r="P35" s="363">
        <f>SUM(P16:P34)</f>
        <v>101576114.16776375</v>
      </c>
      <c r="Q35" s="42"/>
      <c r="R35" s="363">
        <f>SUM(R16:R34)</f>
        <v>341293978.44317156</v>
      </c>
      <c r="S35" s="162"/>
      <c r="T35" s="1825">
        <f>SUM(T16:T34)</f>
        <v>347579114</v>
      </c>
      <c r="V35" s="1270"/>
      <c r="W35" s="1271">
        <f>SUM(W31:W34)</f>
        <v>995754</v>
      </c>
      <c r="X35" s="1306"/>
      <c r="Y35" s="1027"/>
    </row>
    <row r="36" spans="1:25" ht="16.5" thickBot="1">
      <c r="A36" s="172"/>
      <c r="B36" s="42"/>
      <c r="C36" s="42"/>
      <c r="D36" s="42"/>
      <c r="E36" s="42"/>
      <c r="F36" s="42"/>
      <c r="G36" s="42"/>
      <c r="H36" s="42"/>
      <c r="I36" s="42"/>
      <c r="J36" s="42"/>
      <c r="K36" s="42"/>
      <c r="L36" s="42"/>
      <c r="M36" s="42"/>
      <c r="N36" s="42"/>
      <c r="O36" s="42"/>
      <c r="P36" s="42"/>
      <c r="Q36" s="42"/>
      <c r="R36" s="42"/>
      <c r="S36" s="162"/>
      <c r="T36" s="42"/>
    </row>
    <row r="37" spans="1:25">
      <c r="A37" s="162">
        <f>0.6*16*(7929)*1.04</f>
        <v>79163.135999999999</v>
      </c>
      <c r="N37" s="42"/>
      <c r="Q37" s="42"/>
      <c r="S37" s="167"/>
      <c r="V37" s="1272" t="s">
        <v>1308</v>
      </c>
      <c r="W37" s="391"/>
    </row>
    <row r="38" spans="1:25">
      <c r="A38" s="49" t="s">
        <v>91</v>
      </c>
      <c r="B38" s="50"/>
      <c r="C38" s="50"/>
      <c r="D38" s="50"/>
      <c r="E38" s="50"/>
      <c r="F38" s="50"/>
      <c r="G38" s="50"/>
      <c r="H38" s="50"/>
      <c r="I38" s="50"/>
      <c r="J38" s="50"/>
      <c r="K38" s="50"/>
      <c r="L38" s="50"/>
      <c r="M38" s="50"/>
      <c r="N38" s="50"/>
      <c r="O38" s="50"/>
      <c r="P38" s="50"/>
      <c r="Q38" s="42"/>
      <c r="R38" s="50"/>
      <c r="S38" s="162"/>
      <c r="T38" s="50"/>
      <c r="V38" s="1395" t="s">
        <v>1781</v>
      </c>
      <c r="W38" s="1883">
        <f>3013719-82757</f>
        <v>2930962</v>
      </c>
      <c r="X38" s="402"/>
    </row>
    <row r="39" spans="1:25">
      <c r="A39" s="173" t="s">
        <v>92</v>
      </c>
      <c r="B39" s="40">
        <f>'Step 3 Acad Product &amp; Pools'!B39</f>
        <v>0</v>
      </c>
      <c r="C39" s="40">
        <f>320000-300000</f>
        <v>20000</v>
      </c>
      <c r="D39" s="1888">
        <f>W28</f>
        <v>8960745</v>
      </c>
      <c r="E39" s="176"/>
      <c r="F39" s="176"/>
      <c r="G39" s="176">
        <f>'Step 3 Acad Product &amp; Pools'!G39</f>
        <v>0</v>
      </c>
      <c r="H39" s="176">
        <f>'Step 3 Acad Product &amp; Pools'!H39</f>
        <v>0</v>
      </c>
      <c r="I39" s="176">
        <f>'Step 3 Acad Product &amp; Pools'!I39</f>
        <v>0</v>
      </c>
      <c r="J39" s="176">
        <f>'Step 3 Acad Product &amp; Pools'!J39</f>
        <v>0</v>
      </c>
      <c r="K39" s="176"/>
      <c r="L39" s="176">
        <f>SUM('Step 3 Acad Product &amp; Pools'!L39:Q39)</f>
        <v>7.3258350761008657</v>
      </c>
      <c r="M39" s="176"/>
      <c r="N39" s="44"/>
      <c r="O39" s="176">
        <f>'Step 3 Acad Product &amp; Pools'!T39</f>
        <v>0</v>
      </c>
      <c r="P39" s="176">
        <f>'Step 3 Acad Product &amp; Pools'!U39</f>
        <v>0</v>
      </c>
      <c r="Q39" s="42"/>
      <c r="R39" s="40">
        <f>SUM(B39:M39)</f>
        <v>8980752.3258350752</v>
      </c>
      <c r="S39" s="162"/>
      <c r="T39" s="40">
        <v>8919523</v>
      </c>
      <c r="V39" s="1396"/>
      <c r="W39" s="1394"/>
      <c r="X39" s="1027"/>
    </row>
    <row r="40" spans="1:25">
      <c r="A40" s="358" t="s">
        <v>336</v>
      </c>
      <c r="B40" s="50"/>
      <c r="C40" s="50">
        <f>7340700+659300-250000</f>
        <v>7750000</v>
      </c>
      <c r="D40" s="1630"/>
      <c r="E40" s="50"/>
      <c r="F40" s="50"/>
      <c r="G40" s="50"/>
      <c r="H40" s="50"/>
      <c r="I40" s="50"/>
      <c r="J40" s="50"/>
      <c r="K40" s="50"/>
      <c r="L40" s="50"/>
      <c r="M40" s="50"/>
      <c r="N40" s="50"/>
      <c r="O40" s="50"/>
      <c r="P40" s="50"/>
      <c r="Q40" s="42"/>
      <c r="R40" s="44">
        <f t="shared" ref="R40:R58" si="2">SUM(B40:M40)</f>
        <v>7750000</v>
      </c>
      <c r="S40" s="162"/>
      <c r="T40" s="50">
        <v>7177760</v>
      </c>
      <c r="V40" s="1884" t="s">
        <v>1367</v>
      </c>
      <c r="W40" s="1885">
        <v>1062368</v>
      </c>
      <c r="X40" s="1027"/>
    </row>
    <row r="41" spans="1:25">
      <c r="A41" s="172" t="s">
        <v>93</v>
      </c>
      <c r="B41" s="50">
        <f>'Step 3 Acad Product &amp; Pools'!B41</f>
        <v>0</v>
      </c>
      <c r="C41" s="50"/>
      <c r="D41" s="1887">
        <v>118200</v>
      </c>
      <c r="E41" s="50"/>
      <c r="F41" s="50"/>
      <c r="G41" s="50">
        <f>'Step 3 Acad Product &amp; Pools'!G41</f>
        <v>0</v>
      </c>
      <c r="H41" s="50">
        <f>'Step 3 Acad Product &amp; Pools'!H41</f>
        <v>0</v>
      </c>
      <c r="I41" s="50">
        <f>'Step 3 Acad Product &amp; Pools'!I41</f>
        <v>0</v>
      </c>
      <c r="J41" s="50">
        <f>'Step 3 Acad Product &amp; Pools'!J41</f>
        <v>0</v>
      </c>
      <c r="K41" s="50"/>
      <c r="L41" s="50">
        <f>SUM('Step 3 Acad Product &amp; Pools'!L41:Q41)</f>
        <v>0</v>
      </c>
      <c r="M41" s="50"/>
      <c r="N41" s="50"/>
      <c r="O41" s="50">
        <f>'Step 3 Acad Product &amp; Pools'!T41</f>
        <v>-666</v>
      </c>
      <c r="P41" s="50">
        <f>'Step 3 Acad Product &amp; Pools'!U41</f>
        <v>9000</v>
      </c>
      <c r="Q41" s="42"/>
      <c r="R41" s="44">
        <f t="shared" si="2"/>
        <v>118200</v>
      </c>
      <c r="S41" s="162"/>
      <c r="T41" s="50">
        <v>4081953</v>
      </c>
      <c r="V41" s="1884" t="s">
        <v>482</v>
      </c>
      <c r="W41" s="1885">
        <v>55000</v>
      </c>
    </row>
    <row r="42" spans="1:25">
      <c r="A42" s="49" t="s">
        <v>94</v>
      </c>
      <c r="B42" s="50">
        <f>'Step 3 Acad Product &amp; Pools'!B42</f>
        <v>0</v>
      </c>
      <c r="C42" s="50"/>
      <c r="D42" s="1633">
        <f>W35</f>
        <v>995754</v>
      </c>
      <c r="E42" s="178"/>
      <c r="F42" s="178"/>
      <c r="G42" s="178">
        <f>'Step 3 Acad Product &amp; Pools'!G42</f>
        <v>0</v>
      </c>
      <c r="H42" s="178">
        <f>'Step 3 Acad Product &amp; Pools'!H42</f>
        <v>0</v>
      </c>
      <c r="I42" s="178">
        <f>'Step 3 Acad Product &amp; Pools'!I42</f>
        <v>0</v>
      </c>
      <c r="J42" s="178">
        <f>'Step 3 Acad Product &amp; Pools'!J42</f>
        <v>0</v>
      </c>
      <c r="K42" s="178"/>
      <c r="L42" s="178">
        <f>SUM('Step 3 Acad Product &amp; Pools'!L42:Q42)</f>
        <v>0</v>
      </c>
      <c r="M42" s="178"/>
      <c r="N42" s="50"/>
      <c r="O42" s="178">
        <f>'Step 3 Acad Product &amp; Pools'!T42</f>
        <v>0</v>
      </c>
      <c r="P42" s="178">
        <f>'Step 3 Acad Product &amp; Pools'!U42</f>
        <v>0</v>
      </c>
      <c r="Q42" s="42"/>
      <c r="R42" s="44">
        <f t="shared" si="2"/>
        <v>995754</v>
      </c>
      <c r="S42" s="162"/>
      <c r="T42" s="50">
        <v>1512825</v>
      </c>
      <c r="V42" s="1884" t="s">
        <v>483</v>
      </c>
      <c r="W42" s="1885">
        <v>20000</v>
      </c>
    </row>
    <row r="43" spans="1:25">
      <c r="A43" s="173" t="s">
        <v>95</v>
      </c>
      <c r="B43" s="40">
        <f>'Step 3 Acad Product &amp; Pools'!B43</f>
        <v>0</v>
      </c>
      <c r="C43" s="1892">
        <v>0</v>
      </c>
      <c r="D43" s="1632">
        <f>+W60</f>
        <v>2951197</v>
      </c>
      <c r="E43" s="176"/>
      <c r="F43" s="176"/>
      <c r="G43" s="176">
        <f>'Step 3 Acad Product &amp; Pools'!G43</f>
        <v>0</v>
      </c>
      <c r="H43" s="176">
        <f>'Step 3 Acad Product &amp; Pools'!H43</f>
        <v>0</v>
      </c>
      <c r="I43" s="176">
        <f>'Step 3 Acad Product &amp; Pools'!I43</f>
        <v>0</v>
      </c>
      <c r="J43" s="176">
        <f>'Step 3 Acad Product &amp; Pools'!J43</f>
        <v>0</v>
      </c>
      <c r="K43" s="176"/>
      <c r="L43" s="176">
        <f>SUM('Step 3 Acad Product &amp; Pools'!L43:Q43)</f>
        <v>0</v>
      </c>
      <c r="M43" s="176"/>
      <c r="N43" s="44"/>
      <c r="O43" s="176">
        <f>'Step 3 Acad Product &amp; Pools'!T43</f>
        <v>0</v>
      </c>
      <c r="P43" s="176">
        <f>'Step 3 Acad Product &amp; Pools'!U43</f>
        <v>0</v>
      </c>
      <c r="Q43" s="42"/>
      <c r="R43" s="40">
        <f t="shared" si="2"/>
        <v>2951197</v>
      </c>
      <c r="S43" s="162"/>
      <c r="T43" s="40">
        <v>2951197</v>
      </c>
      <c r="U43" s="174"/>
      <c r="V43" s="1884" t="s">
        <v>1377</v>
      </c>
      <c r="W43" s="1885">
        <v>25000</v>
      </c>
    </row>
    <row r="44" spans="1:25">
      <c r="A44" s="172" t="s">
        <v>96</v>
      </c>
      <c r="B44" s="50">
        <f>'Step 3 Acad Product &amp; Pools'!B44</f>
        <v>0</v>
      </c>
      <c r="C44" s="50"/>
      <c r="D44" s="50"/>
      <c r="E44" s="50">
        <f>'Step 3 Acad Product &amp; Pools'!E44</f>
        <v>0</v>
      </c>
      <c r="F44" s="50"/>
      <c r="G44" s="50">
        <f>'Step 3 Acad Product &amp; Pools'!G44</f>
        <v>0</v>
      </c>
      <c r="H44" s="50">
        <f>'Step 3 Acad Product &amp; Pools'!H44</f>
        <v>0</v>
      </c>
      <c r="I44" s="50">
        <f>'Step 3 Acad Product &amp; Pools'!I44</f>
        <v>0</v>
      </c>
      <c r="J44" s="50">
        <f>'Step 3 Acad Product &amp; Pools'!J44</f>
        <v>0</v>
      </c>
      <c r="K44" s="50"/>
      <c r="L44" s="50">
        <f>SUM('Step 3 Acad Product &amp; Pools'!L44:Q44)</f>
        <v>44542.69768917637</v>
      </c>
      <c r="M44" s="50"/>
      <c r="N44" s="50"/>
      <c r="O44" s="50">
        <f>'Step 3 Acad Product &amp; Pools'!T44</f>
        <v>-247900</v>
      </c>
      <c r="P44" s="50">
        <f>'Step 3 Acad Product &amp; Pools'!U44</f>
        <v>3350000</v>
      </c>
      <c r="Q44" s="42"/>
      <c r="R44" s="44">
        <f t="shared" si="2"/>
        <v>44542.69768917637</v>
      </c>
      <c r="S44" s="162"/>
      <c r="T44" s="50">
        <v>10531320</v>
      </c>
      <c r="V44" s="1884" t="s">
        <v>1376</v>
      </c>
      <c r="W44" s="1885">
        <v>50000</v>
      </c>
    </row>
    <row r="45" spans="1:25">
      <c r="A45" s="358" t="s">
        <v>474</v>
      </c>
      <c r="B45" s="50">
        <f>'Step 3 Acad Product &amp; Pools'!B45</f>
        <v>0</v>
      </c>
      <c r="C45" s="50"/>
      <c r="D45" s="1889"/>
      <c r="E45" s="50">
        <f>'Step 3 Acad Product &amp; Pools'!E45</f>
        <v>0</v>
      </c>
      <c r="F45" s="50"/>
      <c r="G45" s="50">
        <f>'Step 3 Acad Product &amp; Pools'!G45</f>
        <v>0</v>
      </c>
      <c r="H45" s="50">
        <f>'Step 3 Acad Product &amp; Pools'!H45</f>
        <v>0</v>
      </c>
      <c r="I45" s="50">
        <f>'Step 3 Acad Product &amp; Pools'!I45</f>
        <v>0</v>
      </c>
      <c r="J45" s="50">
        <f>'Step 3 Acad Product &amp; Pools'!J45</f>
        <v>0</v>
      </c>
      <c r="K45" s="50"/>
      <c r="L45" s="50">
        <f>SUM('Step 3 Acad Product &amp; Pools'!L45:Q45)</f>
        <v>601734.89493933867</v>
      </c>
      <c r="M45" s="50"/>
      <c r="N45" s="50"/>
      <c r="O45" s="50">
        <f>'Step 3 Acad Product &amp; Pools'!T45</f>
        <v>-141710</v>
      </c>
      <c r="P45" s="50">
        <f>'Step 3 Acad Product &amp; Pools'!U45</f>
        <v>1915000</v>
      </c>
      <c r="Q45" s="42"/>
      <c r="R45" s="44">
        <f t="shared" si="2"/>
        <v>601734.89493933867</v>
      </c>
      <c r="S45" s="162"/>
      <c r="T45" s="50">
        <v>6381261</v>
      </c>
      <c r="V45" s="1884" t="s">
        <v>1368</v>
      </c>
      <c r="W45" s="1885">
        <v>250000</v>
      </c>
    </row>
    <row r="46" spans="1:25">
      <c r="A46" s="172" t="s">
        <v>97</v>
      </c>
      <c r="B46" s="50">
        <f>'Step 3 Acad Product &amp; Pools'!B46</f>
        <v>0</v>
      </c>
      <c r="C46" s="50"/>
      <c r="D46" s="50"/>
      <c r="E46" s="50">
        <f>'Step 3 Acad Product &amp; Pools'!E46</f>
        <v>0</v>
      </c>
      <c r="F46" s="50"/>
      <c r="G46" s="50">
        <f>'Step 3 Acad Product &amp; Pools'!G46</f>
        <v>0</v>
      </c>
      <c r="H46" s="50">
        <f>'Step 3 Acad Product &amp; Pools'!H46</f>
        <v>678606.19400000002</v>
      </c>
      <c r="I46" s="50">
        <f>'Step 3 Acad Product &amp; Pools'!I46</f>
        <v>0</v>
      </c>
      <c r="J46" s="50">
        <f>'Step 3 Acad Product &amp; Pools'!J46</f>
        <v>0</v>
      </c>
      <c r="K46" s="50"/>
      <c r="L46" s="50">
        <f>SUM('Step 3 Acad Product &amp; Pools'!L46:Q46)</f>
        <v>4934.5384274804937</v>
      </c>
      <c r="M46" s="50"/>
      <c r="N46" s="50"/>
      <c r="O46" s="50">
        <f>'Step 3 Acad Product &amp; Pools'!T46</f>
        <v>-3700</v>
      </c>
      <c r="P46" s="50">
        <f>'Step 3 Acad Product &amp; Pools'!U46</f>
        <v>50000</v>
      </c>
      <c r="Q46" s="42"/>
      <c r="R46" s="44">
        <f t="shared" si="2"/>
        <v>683540.73242748051</v>
      </c>
      <c r="S46" s="162"/>
      <c r="T46" s="50">
        <v>1904613</v>
      </c>
      <c r="V46" s="1884" t="s">
        <v>1371</v>
      </c>
      <c r="W46" s="1885">
        <v>425000</v>
      </c>
    </row>
    <row r="47" spans="1:25">
      <c r="A47" s="173" t="s">
        <v>98</v>
      </c>
      <c r="B47" s="40">
        <f>'Step 3 Acad Product &amp; Pools'!B47</f>
        <v>0</v>
      </c>
      <c r="C47" s="1891"/>
      <c r="D47" s="40"/>
      <c r="E47" s="40">
        <f>'Step 3 Acad Product &amp; Pools'!E47</f>
        <v>0</v>
      </c>
      <c r="F47" s="40"/>
      <c r="G47" s="40">
        <f>'Step 3 Acad Product &amp; Pools'!G47</f>
        <v>1066381.162</v>
      </c>
      <c r="H47" s="40">
        <f>'Step 3 Acad Product &amp; Pools'!H47</f>
        <v>0</v>
      </c>
      <c r="I47" s="40">
        <f>'Step 3 Acad Product &amp; Pools'!I47</f>
        <v>0</v>
      </c>
      <c r="J47" s="40">
        <f>'Step 3 Acad Product &amp; Pools'!J47</f>
        <v>0</v>
      </c>
      <c r="K47" s="40"/>
      <c r="L47" s="40">
        <f>SUM('Step 3 Acad Product &amp; Pools'!L47:Q47)</f>
        <v>602.97011536474429</v>
      </c>
      <c r="M47" s="40"/>
      <c r="N47" s="44"/>
      <c r="O47" s="40">
        <f>'Step 3 Acad Product &amp; Pools'!T47</f>
        <v>-14800</v>
      </c>
      <c r="P47" s="40">
        <f>'Step 3 Acad Product &amp; Pools'!U47</f>
        <v>2831600</v>
      </c>
      <c r="Q47" s="42"/>
      <c r="R47" s="40">
        <f t="shared" si="2"/>
        <v>1066984.1321153648</v>
      </c>
      <c r="S47" s="162"/>
      <c r="T47" s="40">
        <v>23770557</v>
      </c>
      <c r="V47" s="1884" t="s">
        <v>1369</v>
      </c>
      <c r="W47" s="1885">
        <v>300000</v>
      </c>
    </row>
    <row r="48" spans="1:25">
      <c r="A48" s="172" t="s">
        <v>475</v>
      </c>
      <c r="B48" s="50">
        <f>'Step 3 Acad Product &amp; Pools'!B48</f>
        <v>0</v>
      </c>
      <c r="C48" s="1630">
        <f>0.979*950000</f>
        <v>930050</v>
      </c>
      <c r="D48" s="50"/>
      <c r="E48" s="50">
        <f>'Step 3 Acad Product &amp; Pools'!E48</f>
        <v>0</v>
      </c>
      <c r="F48" s="50"/>
      <c r="G48" s="50">
        <f>'Step 3 Acad Product &amp; Pools'!G48</f>
        <v>242359.35500000001</v>
      </c>
      <c r="H48" s="50">
        <f>'Step 3 Acad Product &amp; Pools'!H48</f>
        <v>0</v>
      </c>
      <c r="I48" s="50">
        <f>'Step 3 Acad Product &amp; Pools'!I48</f>
        <v>0</v>
      </c>
      <c r="J48" s="50">
        <f>'Step 3 Acad Product &amp; Pools'!J48</f>
        <v>0</v>
      </c>
      <c r="K48" s="50"/>
      <c r="L48" s="50">
        <f>SUM('Step 3 Acad Product &amp; Pools'!L48:Q48)</f>
        <v>0</v>
      </c>
      <c r="M48" s="50"/>
      <c r="N48" s="50"/>
      <c r="O48" s="50">
        <f>'Step 3 Acad Product &amp; Pools'!T48</f>
        <v>-77700</v>
      </c>
      <c r="P48" s="50">
        <f>'Step 3 Acad Product &amp; Pools'!U48</f>
        <v>1488600</v>
      </c>
      <c r="Q48" s="42"/>
      <c r="R48" s="44">
        <f t="shared" si="2"/>
        <v>1172409.355</v>
      </c>
      <c r="S48" s="162"/>
      <c r="T48" s="50">
        <v>4978877</v>
      </c>
      <c r="V48" s="1884" t="s">
        <v>1370</v>
      </c>
      <c r="W48" s="1885">
        <v>149430</v>
      </c>
    </row>
    <row r="49" spans="1:25">
      <c r="A49" s="49" t="s">
        <v>85</v>
      </c>
      <c r="B49" s="50">
        <f>'Step 3 Acad Product &amp; Pools'!B49</f>
        <v>0</v>
      </c>
      <c r="C49" s="50"/>
      <c r="D49" s="50"/>
      <c r="E49" s="50">
        <f>'Step 3 Acad Product &amp; Pools'!E49</f>
        <v>0</v>
      </c>
      <c r="F49" s="50"/>
      <c r="G49" s="50">
        <f>'Step 3 Acad Product &amp; Pools'!G49</f>
        <v>0</v>
      </c>
      <c r="H49" s="50">
        <f>'Step 3 Acad Product &amp; Pools'!H49</f>
        <v>0</v>
      </c>
      <c r="I49" s="50">
        <f>'Step 3 Acad Product &amp; Pools'!I49</f>
        <v>0</v>
      </c>
      <c r="J49" s="50">
        <f>'Step 3 Acad Product &amp; Pools'!J49</f>
        <v>0</v>
      </c>
      <c r="K49" s="50"/>
      <c r="L49" s="50">
        <f>SUM('Step 3 Acad Product &amp; Pools'!L49:Q49)</f>
        <v>11213.601234313732</v>
      </c>
      <c r="M49" s="50"/>
      <c r="N49" s="50"/>
      <c r="O49" s="50">
        <f>'Step 3 Acad Product &amp; Pools'!T49</f>
        <v>-3330</v>
      </c>
      <c r="P49" s="50">
        <f>'Step 3 Acad Product &amp; Pools'!U49</f>
        <v>45000</v>
      </c>
      <c r="Q49" s="42"/>
      <c r="R49" s="44">
        <f t="shared" si="2"/>
        <v>11213.601234313732</v>
      </c>
      <c r="S49" s="162"/>
      <c r="T49" s="50">
        <v>1507856</v>
      </c>
      <c r="V49" s="1884" t="s">
        <v>1372</v>
      </c>
      <c r="W49" s="1885">
        <f>317326-31213</f>
        <v>286113</v>
      </c>
    </row>
    <row r="50" spans="1:25">
      <c r="A50" s="172" t="s">
        <v>99</v>
      </c>
      <c r="B50" s="50">
        <f>'Step 3 Acad Product &amp; Pools'!B50</f>
        <v>0</v>
      </c>
      <c r="C50" s="50"/>
      <c r="D50" s="50"/>
      <c r="E50" s="50">
        <f>'Step 3 Acad Product &amp; Pools'!E50</f>
        <v>0</v>
      </c>
      <c r="F50" s="50"/>
      <c r="G50" s="50">
        <f>'Step 3 Acad Product &amp; Pools'!G50</f>
        <v>242359.35500000001</v>
      </c>
      <c r="H50" s="50">
        <f>'Step 3 Acad Product &amp; Pools'!H50</f>
        <v>0</v>
      </c>
      <c r="I50" s="50">
        <f>'Step 3 Acad Product &amp; Pools'!I50</f>
        <v>0</v>
      </c>
      <c r="J50" s="50">
        <f>'Step 3 Acad Product &amp; Pools'!J50</f>
        <v>0</v>
      </c>
      <c r="K50" s="50"/>
      <c r="L50" s="50">
        <f>SUM('Step 3 Acad Product &amp; Pools'!L50:Q50)</f>
        <v>0</v>
      </c>
      <c r="M50" s="50"/>
      <c r="N50" s="50"/>
      <c r="O50" s="50">
        <f>'Step 3 Acad Product &amp; Pools'!T50</f>
        <v>0</v>
      </c>
      <c r="P50" s="50">
        <f>'Step 3 Acad Product &amp; Pools'!U50</f>
        <v>3658800</v>
      </c>
      <c r="Q50" s="42"/>
      <c r="R50" s="44">
        <f t="shared" si="2"/>
        <v>242359.35500000001</v>
      </c>
      <c r="S50" s="162"/>
      <c r="T50" s="222">
        <v>7933343</v>
      </c>
      <c r="V50" s="1884" t="s">
        <v>1373</v>
      </c>
      <c r="W50" s="1885">
        <f>90594-7797</f>
        <v>82797</v>
      </c>
    </row>
    <row r="51" spans="1:25">
      <c r="A51" s="173" t="s">
        <v>100</v>
      </c>
      <c r="B51" s="40">
        <f>'Step 3 Acad Product &amp; Pools'!B51</f>
        <v>0</v>
      </c>
      <c r="C51" s="40"/>
      <c r="D51" s="40"/>
      <c r="E51" s="40">
        <f>'Step 3 Acad Product &amp; Pools'!E51</f>
        <v>0</v>
      </c>
      <c r="F51" s="40"/>
      <c r="G51" s="40">
        <f>'Step 3 Acad Product &amp; Pools'!G51</f>
        <v>0</v>
      </c>
      <c r="H51" s="40">
        <f>'Step 3 Acad Product &amp; Pools'!H51</f>
        <v>0</v>
      </c>
      <c r="I51" s="40">
        <f>'Step 3 Acad Product &amp; Pools'!I51</f>
        <v>0</v>
      </c>
      <c r="J51" s="40">
        <f>'Step 3 Acad Product &amp; Pools'!J51</f>
        <v>0</v>
      </c>
      <c r="K51" s="40"/>
      <c r="L51" s="40">
        <f>SUM('Step 3 Acad Product &amp; Pools'!L51:Q51)</f>
        <v>1359432.3894694957</v>
      </c>
      <c r="M51" s="40"/>
      <c r="N51" s="44"/>
      <c r="O51" s="40">
        <f>'Step 3 Acad Product &amp; Pools'!T51</f>
        <v>-112682.538</v>
      </c>
      <c r="P51" s="40">
        <f>'Step 3 Acad Product &amp; Pools'!U51</f>
        <v>1522737</v>
      </c>
      <c r="Q51" s="42"/>
      <c r="R51" s="40">
        <f t="shared" si="2"/>
        <v>1359432.3894694957</v>
      </c>
      <c r="S51" s="162"/>
      <c r="T51" s="44">
        <v>13396050</v>
      </c>
      <c r="V51" s="1884" t="s">
        <v>1374</v>
      </c>
      <c r="W51" s="1885">
        <v>300000</v>
      </c>
      <c r="X51" s="1882"/>
    </row>
    <row r="52" spans="1:25">
      <c r="A52" s="172" t="s">
        <v>101</v>
      </c>
      <c r="B52" s="50">
        <f>'Step 3 Acad Product &amp; Pools'!B52</f>
        <v>0</v>
      </c>
      <c r="C52" s="50"/>
      <c r="D52" s="50"/>
      <c r="E52" s="50">
        <f>'Step 3 Acad Product &amp; Pools'!E52</f>
        <v>0</v>
      </c>
      <c r="F52" s="50"/>
      <c r="G52" s="50">
        <f>'Step 3 Acad Product &amp; Pools'!G52</f>
        <v>0</v>
      </c>
      <c r="H52" s="50">
        <f>'Step 3 Acad Product &amp; Pools'!H52</f>
        <v>0</v>
      </c>
      <c r="I52" s="50">
        <f>'Step 3 Acad Product &amp; Pools'!I52</f>
        <v>0</v>
      </c>
      <c r="J52" s="50">
        <f>'Step 3 Acad Product &amp; Pools'!J52</f>
        <v>533190.58100000001</v>
      </c>
      <c r="K52" s="50"/>
      <c r="L52" s="50">
        <f>SUM('Step 3 Acad Product &amp; Pools'!L52:Q52)</f>
        <v>0</v>
      </c>
      <c r="M52" s="50"/>
      <c r="N52" s="50"/>
      <c r="O52" s="50">
        <f>'Step 3 Acad Product &amp; Pools'!T52</f>
        <v>0</v>
      </c>
      <c r="P52" s="50">
        <f>'Step 3 Acad Product &amp; Pools'!U52</f>
        <v>1754400</v>
      </c>
      <c r="Q52" s="42"/>
      <c r="R52" s="44">
        <f t="shared" si="2"/>
        <v>533190.58100000001</v>
      </c>
      <c r="S52" s="162"/>
      <c r="T52" s="50">
        <v>13613698</v>
      </c>
      <c r="V52" s="1396" t="s">
        <v>1375</v>
      </c>
      <c r="W52" s="1885">
        <v>20514</v>
      </c>
      <c r="X52" s="174"/>
    </row>
    <row r="53" spans="1:25">
      <c r="A53" s="172" t="s">
        <v>102</v>
      </c>
      <c r="B53" s="50">
        <f>'Step 3 Acad Product &amp; Pools'!B53</f>
        <v>0</v>
      </c>
      <c r="C53" s="50"/>
      <c r="D53" s="50"/>
      <c r="E53" s="50">
        <f>'Step 3 Acad Product &amp; Pools'!E53</f>
        <v>0</v>
      </c>
      <c r="F53" s="50"/>
      <c r="G53" s="50">
        <f>'Step 3 Acad Product &amp; Pools'!G53</f>
        <v>0</v>
      </c>
      <c r="H53" s="50">
        <f>'Step 3 Acad Product &amp; Pools'!H53</f>
        <v>0</v>
      </c>
      <c r="I53" s="50">
        <f>'Step 3 Acad Product &amp; Pools'!I53</f>
        <v>0</v>
      </c>
      <c r="J53" s="50">
        <f>'Step 3 Acad Product &amp; Pools'!J53</f>
        <v>824021.80700000003</v>
      </c>
      <c r="K53" s="50"/>
      <c r="L53" s="50">
        <f>SUM('Step 3 Acad Product &amp; Pools'!L53:Q53)</f>
        <v>0</v>
      </c>
      <c r="M53" s="50"/>
      <c r="N53" s="50"/>
      <c r="O53" s="50">
        <f>'Step 3 Acad Product &amp; Pools'!T53</f>
        <v>-65120</v>
      </c>
      <c r="P53" s="50">
        <f>'Step 3 Acad Product &amp; Pools'!U53</f>
        <v>2634400</v>
      </c>
      <c r="Q53" s="42"/>
      <c r="R53" s="44">
        <f t="shared" si="2"/>
        <v>824021.80700000003</v>
      </c>
      <c r="S53" s="162"/>
      <c r="T53" s="222">
        <v>30168812</v>
      </c>
      <c r="V53" s="1396" t="s">
        <v>1378</v>
      </c>
      <c r="W53" s="1885">
        <v>7732</v>
      </c>
    </row>
    <row r="54" spans="1:25">
      <c r="A54" s="173" t="s">
        <v>103</v>
      </c>
      <c r="B54" s="40">
        <f>'Step 3 Acad Product &amp; Pools'!B54</f>
        <v>0</v>
      </c>
      <c r="C54" s="40"/>
      <c r="D54" s="40"/>
      <c r="E54" s="40">
        <f>'Step 3 Acad Product &amp; Pools'!E54</f>
        <v>0</v>
      </c>
      <c r="F54" s="40"/>
      <c r="G54" s="40">
        <f>'Step 3 Acad Product &amp; Pools'!G54</f>
        <v>0</v>
      </c>
      <c r="H54" s="40">
        <f>'Step 3 Acad Product &amp; Pools'!H54</f>
        <v>0</v>
      </c>
      <c r="I54" s="40">
        <f>'Step 3 Acad Product &amp; Pools'!I54</f>
        <v>0</v>
      </c>
      <c r="J54" s="40">
        <f>'Step 3 Acad Product &amp; Pools'!J54</f>
        <v>0</v>
      </c>
      <c r="K54" s="40"/>
      <c r="L54" s="40">
        <f>SUM('Step 3 Acad Product &amp; Pools'!L54:Q54)</f>
        <v>435.06190005183799</v>
      </c>
      <c r="M54" s="40"/>
      <c r="N54" s="44"/>
      <c r="O54" s="40">
        <f>'Step 3 Acad Product &amp; Pools'!T54</f>
        <v>0</v>
      </c>
      <c r="P54" s="40">
        <f>'Step 3 Acad Product &amp; Pools'!U54</f>
        <v>4824600</v>
      </c>
      <c r="Q54" s="42"/>
      <c r="R54" s="40">
        <f t="shared" si="2"/>
        <v>435.06190005183799</v>
      </c>
      <c r="S54" s="162"/>
      <c r="T54" s="44">
        <v>18588968</v>
      </c>
      <c r="V54" s="1396" t="s">
        <v>1950</v>
      </c>
      <c r="W54" s="1885">
        <v>-82757</v>
      </c>
      <c r="X54" s="174"/>
    </row>
    <row r="55" spans="1:25">
      <c r="A55" s="172" t="s">
        <v>450</v>
      </c>
      <c r="B55" s="44">
        <f>'Step 3 Acad Product &amp; Pools'!B55</f>
        <v>0</v>
      </c>
      <c r="C55" s="44"/>
      <c r="D55" s="44"/>
      <c r="E55" s="44">
        <f>'Step 3 Acad Product &amp; Pools'!E55</f>
        <v>0</v>
      </c>
      <c r="F55" s="44"/>
      <c r="G55" s="44">
        <f>'Step 3 Acad Product &amp; Pools'!G55</f>
        <v>0</v>
      </c>
      <c r="H55" s="44">
        <f>'Step 3 Acad Product &amp; Pools'!H55</f>
        <v>0</v>
      </c>
      <c r="I55" s="44">
        <f>'Step 3 Acad Product &amp; Pools'!I55</f>
        <v>0</v>
      </c>
      <c r="J55" s="44">
        <f>'Step 3 Acad Product &amp; Pools'!J55</f>
        <v>0</v>
      </c>
      <c r="K55" s="44"/>
      <c r="L55" s="44">
        <f>SUM('Step 3 Acad Product &amp; Pools'!L55:Q55)</f>
        <v>0</v>
      </c>
      <c r="M55" s="44"/>
      <c r="N55" s="44"/>
      <c r="O55" s="44">
        <f>'Step 3 Acad Product &amp; Pools'!T55</f>
        <v>0</v>
      </c>
      <c r="P55" s="44">
        <f>'Step 3 Acad Product &amp; Pools'!U55</f>
        <v>0</v>
      </c>
      <c r="Q55" s="42"/>
      <c r="R55" s="44">
        <f t="shared" si="2"/>
        <v>0</v>
      </c>
      <c r="S55" s="162"/>
      <c r="T55" s="44">
        <v>0</v>
      </c>
      <c r="V55" s="1397" t="s">
        <v>1216</v>
      </c>
      <c r="W55" s="1886">
        <f>SUM(W39:W54)</f>
        <v>2951197</v>
      </c>
    </row>
    <row r="56" spans="1:25">
      <c r="A56" s="358" t="s">
        <v>476</v>
      </c>
      <c r="B56" s="44">
        <f>'Step 3 Acad Product &amp; Pools'!B56</f>
        <v>0</v>
      </c>
      <c r="C56" s="44"/>
      <c r="D56" s="44"/>
      <c r="E56" s="44">
        <f>'Step 3 Acad Product &amp; Pools'!E56</f>
        <v>0</v>
      </c>
      <c r="F56" s="44"/>
      <c r="G56" s="44">
        <f>'Step 3 Acad Product &amp; Pools'!G56</f>
        <v>0</v>
      </c>
      <c r="H56" s="44">
        <f>'Step 3 Acad Product &amp; Pools'!H56</f>
        <v>0</v>
      </c>
      <c r="I56" s="44">
        <f>'Step 3 Acad Product &amp; Pools'!I56</f>
        <v>0</v>
      </c>
      <c r="J56" s="44">
        <f>'Step 3 Acad Product &amp; Pools'!J56</f>
        <v>0</v>
      </c>
      <c r="K56" s="44"/>
      <c r="L56" s="44">
        <f>SUM('Step 3 Acad Product &amp; Pools'!L56:Q56)</f>
        <v>0</v>
      </c>
      <c r="M56" s="44"/>
      <c r="N56" s="44"/>
      <c r="O56" s="44">
        <f>'Step 3 Acad Product &amp; Pools'!T56</f>
        <v>0</v>
      </c>
      <c r="P56" s="44">
        <f>'Step 3 Acad Product &amp; Pools'!U56</f>
        <v>877200</v>
      </c>
      <c r="Q56" s="42"/>
      <c r="R56" s="44">
        <f t="shared" si="2"/>
        <v>0</v>
      </c>
      <c r="S56" s="162"/>
      <c r="T56" s="222">
        <v>2400967</v>
      </c>
      <c r="V56" s="1268" t="s">
        <v>1780</v>
      </c>
      <c r="W56" s="1269"/>
    </row>
    <row r="57" spans="1:25">
      <c r="A57" s="172" t="s">
        <v>104</v>
      </c>
      <c r="B57" s="50">
        <f>'Step 3 Acad Product &amp; Pools'!B57</f>
        <v>0</v>
      </c>
      <c r="C57" s="50"/>
      <c r="D57" s="50"/>
      <c r="E57" s="50">
        <f>'Step 3 Acad Product &amp; Pools'!E57</f>
        <v>0</v>
      </c>
      <c r="F57" s="50"/>
      <c r="G57" s="50">
        <f>'Step 3 Acad Product &amp; Pools'!G57</f>
        <v>0</v>
      </c>
      <c r="H57" s="50">
        <f>'Step 3 Acad Product &amp; Pools'!H57</f>
        <v>0</v>
      </c>
      <c r="I57" s="50">
        <f>'Step 3 Acad Product &amp; Pools'!I57</f>
        <v>0</v>
      </c>
      <c r="J57" s="50">
        <f>'Step 3 Acad Product &amp; Pools'!J57</f>
        <v>0</v>
      </c>
      <c r="K57" s="50"/>
      <c r="L57" s="50">
        <f>SUM('Step 3 Acad Product &amp; Pools'!L57:Q57)</f>
        <v>0</v>
      </c>
      <c r="M57" s="50"/>
      <c r="N57" s="50"/>
      <c r="O57" s="50">
        <f>'Step 3 Acad Product &amp; Pools'!T57</f>
        <v>-5180</v>
      </c>
      <c r="P57" s="50">
        <f>'Step 3 Acad Product &amp; Pools'!U57</f>
        <v>4456000</v>
      </c>
      <c r="Q57" s="42"/>
      <c r="R57" s="44">
        <f t="shared" si="2"/>
        <v>0</v>
      </c>
      <c r="S57" s="162"/>
      <c r="T57" s="50">
        <v>12293440</v>
      </c>
      <c r="V57" s="1511"/>
      <c r="W57" s="1269"/>
    </row>
    <row r="58" spans="1:25">
      <c r="A58" s="366" t="s">
        <v>105</v>
      </c>
      <c r="B58" s="367">
        <f>SUM(B39:B57)</f>
        <v>0</v>
      </c>
      <c r="C58" s="367">
        <f>SUM(C39:C57)</f>
        <v>8700050</v>
      </c>
      <c r="D58" s="367">
        <f>SUM(D39:D57)</f>
        <v>13025896</v>
      </c>
      <c r="E58" s="367">
        <f>SUM(E39:E57)</f>
        <v>0</v>
      </c>
      <c r="F58" s="367"/>
      <c r="G58" s="367">
        <f>SUM(G39:G57)</f>
        <v>1551099.872</v>
      </c>
      <c r="H58" s="367">
        <f>SUM(H39:H57)</f>
        <v>678606.19400000002</v>
      </c>
      <c r="I58" s="367">
        <f>SUM(I39:I57)</f>
        <v>0</v>
      </c>
      <c r="J58" s="367">
        <f>SUM(J39:J57)</f>
        <v>1357212.388</v>
      </c>
      <c r="K58" s="367"/>
      <c r="L58" s="367">
        <f>SUM(L39:L57)</f>
        <v>2022903.4796102976</v>
      </c>
      <c r="M58" s="367">
        <f>SUM(M39:M57)</f>
        <v>0</v>
      </c>
      <c r="N58" s="168"/>
      <c r="O58" s="367">
        <f>SUM(O39:O57)</f>
        <v>-672788.53799999994</v>
      </c>
      <c r="P58" s="367">
        <f>SUM(P39:P57)</f>
        <v>29417337</v>
      </c>
      <c r="Q58" s="1283"/>
      <c r="R58" s="40">
        <f t="shared" si="2"/>
        <v>27335767.933610298</v>
      </c>
      <c r="S58" s="162"/>
      <c r="T58" s="1826">
        <f>SUM(T39:T57)</f>
        <v>172113020</v>
      </c>
      <c r="V58" s="1268"/>
      <c r="W58" s="1269"/>
    </row>
    <row r="59" spans="1:25" ht="16.5" thickBot="1">
      <c r="A59" s="368" t="s">
        <v>106</v>
      </c>
      <c r="B59" s="369">
        <f>B6+B7+B8+B9+B10+B11+B12+B35+B58</f>
        <v>48474350.769999996</v>
      </c>
      <c r="C59" s="369">
        <f>C6+C7+C8+C9+C10+C11+C12+C35+C58</f>
        <v>11948324.531525379</v>
      </c>
      <c r="D59" s="369">
        <f>D6+D7+D8+D9+D10+D11+D12+D35+D58</f>
        <v>13025896</v>
      </c>
      <c r="E59" s="369">
        <f>E6+E7+E8+E9+E10+E11+E12+E35+E58</f>
        <v>22100000</v>
      </c>
      <c r="F59" s="369"/>
      <c r="G59" s="369">
        <f>G6+G7+G10+G11+G12+G35+G58</f>
        <v>1551099.872</v>
      </c>
      <c r="H59" s="369">
        <f>H6+H7+H10+H11+H12+H35+H58</f>
        <v>678606.19400000002</v>
      </c>
      <c r="I59" s="369">
        <f>I6+I7+I10+I11+I12+I35+I58</f>
        <v>0</v>
      </c>
      <c r="J59" s="369">
        <f>J6+J7+J10+J11+J12+J35+J58</f>
        <v>1357212.388</v>
      </c>
      <c r="K59" s="369"/>
      <c r="L59" s="369">
        <f>L6+L7+L8+L9+L10+L11+L12+L35+L58</f>
        <v>220567027.671018</v>
      </c>
      <c r="M59" s="369">
        <f>M6+M7+M8+M9+M10+M11+M12+M35+M58</f>
        <v>0</v>
      </c>
      <c r="N59" s="194"/>
      <c r="O59" s="369">
        <f>O6+O7+O8+O9+O10+O11+O12+O35+O58</f>
        <v>-3586918.4539999999</v>
      </c>
      <c r="P59" s="369">
        <f>P6+P7+P8+P9+P10+P11+P12+P35+P58</f>
        <v>156760749.16776377</v>
      </c>
      <c r="Q59" s="167"/>
      <c r="R59" s="40">
        <f>SUM(B59:M59)</f>
        <v>319702517.42654335</v>
      </c>
      <c r="S59" s="637"/>
      <c r="T59" s="781">
        <f>SUM(T6:T12)+T35+T58</f>
        <v>574133379.23672247</v>
      </c>
      <c r="V59" s="1268"/>
      <c r="W59" s="1269"/>
    </row>
    <row r="60" spans="1:25" ht="17.25" thickTop="1" thickBot="1">
      <c r="A60" s="172"/>
      <c r="B60" s="172"/>
      <c r="C60" s="172"/>
      <c r="D60" s="172"/>
      <c r="E60" s="172"/>
      <c r="F60" s="172"/>
      <c r="G60" s="172"/>
      <c r="H60" s="172"/>
      <c r="I60" s="172"/>
      <c r="J60" s="172"/>
      <c r="K60" s="172"/>
      <c r="L60" s="163"/>
      <c r="M60" s="163"/>
      <c r="N60" s="163"/>
      <c r="O60" s="163"/>
      <c r="P60" s="163"/>
      <c r="Q60" s="162"/>
      <c r="R60" s="44"/>
      <c r="S60" s="162"/>
      <c r="T60" s="52"/>
      <c r="U60" s="161"/>
      <c r="V60" s="1270" t="s">
        <v>13</v>
      </c>
      <c r="W60" s="1314">
        <f>SUM(W55:W58)</f>
        <v>2951197</v>
      </c>
      <c r="X60" s="174"/>
    </row>
    <row r="61" spans="1:25" ht="16.5" thickTop="1">
      <c r="B61" s="12">
        <f>SUM(B59:D59)</f>
        <v>73448571.301525384</v>
      </c>
      <c r="C61" s="12"/>
      <c r="F61" s="161"/>
      <c r="G61" s="161"/>
      <c r="H61" s="161"/>
      <c r="I61" s="161"/>
      <c r="J61" s="161"/>
      <c r="K61" s="161"/>
      <c r="L61" s="163"/>
      <c r="M61" s="161"/>
      <c r="N61" s="161"/>
      <c r="O61" s="161"/>
      <c r="P61" s="161"/>
      <c r="Q61" s="162"/>
      <c r="R61" s="163"/>
      <c r="S61" s="161"/>
      <c r="T61" s="163"/>
      <c r="U61" s="161"/>
      <c r="X61" s="174"/>
    </row>
    <row r="62" spans="1:25">
      <c r="F62" s="161"/>
      <c r="G62" s="161"/>
      <c r="H62" s="161"/>
      <c r="I62" s="161"/>
      <c r="J62" s="161"/>
      <c r="K62" s="161"/>
      <c r="L62" s="179"/>
      <c r="M62" s="161"/>
      <c r="N62" s="161"/>
      <c r="O62" s="161"/>
      <c r="P62" s="163">
        <f>SUM(L60:P60)</f>
        <v>0</v>
      </c>
      <c r="Q62" s="162"/>
      <c r="R62" s="161"/>
      <c r="S62" s="161"/>
      <c r="T62" s="161"/>
      <c r="U62" s="161"/>
      <c r="X62" s="1306"/>
      <c r="Y62" s="1027"/>
    </row>
    <row r="63" spans="1:25">
      <c r="F63" s="161"/>
      <c r="G63" s="161"/>
      <c r="H63" s="161"/>
      <c r="I63" s="161"/>
      <c r="J63" s="161"/>
      <c r="K63" s="161"/>
      <c r="R63" s="163"/>
      <c r="S63" s="161"/>
      <c r="T63" s="161"/>
      <c r="U63" s="161"/>
    </row>
    <row r="64" spans="1:25">
      <c r="V64" t="s">
        <v>1820</v>
      </c>
      <c r="W64" s="1880" t="s">
        <v>1944</v>
      </c>
    </row>
    <row r="65" spans="22:25">
      <c r="V65" t="s">
        <v>1821</v>
      </c>
      <c r="W65" s="188">
        <v>320124</v>
      </c>
    </row>
    <row r="66" spans="22:25">
      <c r="V66" s="161" t="s">
        <v>1822</v>
      </c>
      <c r="W66" s="188">
        <v>126402</v>
      </c>
    </row>
    <row r="67" spans="22:25">
      <c r="V67" t="s">
        <v>1693</v>
      </c>
      <c r="W67" s="188">
        <v>70545</v>
      </c>
    </row>
    <row r="68" spans="22:25">
      <c r="V68" t="s">
        <v>13</v>
      </c>
      <c r="W68" s="188">
        <f>SUM(W65:W67)</f>
        <v>517071</v>
      </c>
    </row>
    <row r="69" spans="22:25">
      <c r="W69" s="188"/>
    </row>
    <row r="70" spans="22:25">
      <c r="V70" t="s">
        <v>1823</v>
      </c>
      <c r="W70" s="1879" t="s">
        <v>1942</v>
      </c>
    </row>
    <row r="71" spans="22:25">
      <c r="V71" t="s">
        <v>1825</v>
      </c>
      <c r="W71" s="1877">
        <v>112000</v>
      </c>
    </row>
    <row r="72" spans="22:25">
      <c r="V72" t="s">
        <v>1822</v>
      </c>
      <c r="W72" s="1877">
        <v>40000</v>
      </c>
    </row>
    <row r="73" spans="22:25">
      <c r="V73" t="s">
        <v>1693</v>
      </c>
      <c r="W73" s="1877">
        <v>8000</v>
      </c>
    </row>
    <row r="74" spans="22:25">
      <c r="V74" t="s">
        <v>13</v>
      </c>
      <c r="W74" s="1877">
        <f>SUM(W71:W73)</f>
        <v>160000</v>
      </c>
      <c r="X74">
        <f>W72/W71</f>
        <v>0.35714285714285715</v>
      </c>
    </row>
    <row r="75" spans="22:25">
      <c r="W75" s="188"/>
    </row>
    <row r="76" spans="22:25">
      <c r="V76" s="1878" t="s">
        <v>1941</v>
      </c>
      <c r="W76" s="1879" t="s">
        <v>1938</v>
      </c>
      <c r="X76" s="1880" t="s">
        <v>1939</v>
      </c>
      <c r="Y76" s="1880" t="s">
        <v>1940</v>
      </c>
    </row>
    <row r="77" spans="22:25">
      <c r="V77" t="s">
        <v>1825</v>
      </c>
      <c r="W77" s="188">
        <f>12*12500</f>
        <v>150000</v>
      </c>
      <c r="X77" s="1877">
        <v>80000</v>
      </c>
      <c r="Y77" s="1877">
        <v>-73200</v>
      </c>
    </row>
    <row r="78" spans="22:25">
      <c r="V78" t="s">
        <v>1822</v>
      </c>
      <c r="W78" s="1877">
        <v>50000</v>
      </c>
      <c r="X78" s="1877">
        <v>33000</v>
      </c>
      <c r="Y78" s="1877">
        <v>-40000</v>
      </c>
    </row>
    <row r="79" spans="22:25">
      <c r="V79" t="s">
        <v>1693</v>
      </c>
      <c r="W79" s="188">
        <v>8000</v>
      </c>
      <c r="X79" s="1877">
        <v>5000</v>
      </c>
      <c r="Y79" s="1877">
        <v>-5000</v>
      </c>
    </row>
    <row r="80" spans="22:25">
      <c r="V80" t="s">
        <v>13</v>
      </c>
      <c r="W80" s="188">
        <f>SUM(W77:W79)</f>
        <v>208000</v>
      </c>
      <c r="X80" s="1877">
        <f>SUM(X77:X79)</f>
        <v>118000</v>
      </c>
      <c r="Y80" s="1877">
        <f>SUM(Y77:Y79)</f>
        <v>-118200</v>
      </c>
    </row>
    <row r="81" spans="3:23">
      <c r="H81" s="174"/>
      <c r="W81" s="188"/>
    </row>
    <row r="82" spans="3:23">
      <c r="H82" s="174"/>
      <c r="V82" t="s">
        <v>1824</v>
      </c>
      <c r="W82" s="1879" t="s">
        <v>1943</v>
      </c>
    </row>
    <row r="83" spans="3:23">
      <c r="G83" s="174"/>
      <c r="H83" s="174"/>
      <c r="V83" t="s">
        <v>1825</v>
      </c>
      <c r="W83" s="1877">
        <v>71000</v>
      </c>
    </row>
    <row r="84" spans="3:23">
      <c r="G84" s="174"/>
      <c r="V84" t="s">
        <v>1822</v>
      </c>
      <c r="W84" s="1877">
        <v>31000</v>
      </c>
    </row>
    <row r="85" spans="3:23">
      <c r="V85" t="s">
        <v>1693</v>
      </c>
      <c r="W85" s="1877">
        <v>4000</v>
      </c>
    </row>
    <row r="86" spans="3:23">
      <c r="H86" s="174"/>
      <c r="V86" t="s">
        <v>13</v>
      </c>
      <c r="W86" s="188">
        <f>SUM(W83:W85)</f>
        <v>106000</v>
      </c>
    </row>
    <row r="87" spans="3:23">
      <c r="G87" s="174"/>
      <c r="V87" t="s">
        <v>1870</v>
      </c>
      <c r="W87" s="188"/>
    </row>
    <row r="88" spans="3:23">
      <c r="V88" t="s">
        <v>1869</v>
      </c>
      <c r="W88" s="188">
        <f>W68-W74-W80-W86</f>
        <v>43071</v>
      </c>
    </row>
    <row r="96" spans="3:23">
      <c r="C96" s="381"/>
      <c r="D96" s="381"/>
      <c r="G96" s="174">
        <f>W38-W55</f>
        <v>-20235</v>
      </c>
    </row>
    <row r="97" spans="3:4">
      <c r="C97" s="381"/>
      <c r="D97" s="381"/>
    </row>
    <row r="98" spans="3:4">
      <c r="C98" s="381"/>
      <c r="D98" s="381"/>
    </row>
    <row r="99" spans="3:4">
      <c r="C99" s="381"/>
      <c r="D99" s="381"/>
    </row>
    <row r="100" spans="3:4">
      <c r="C100" s="381"/>
      <c r="D100" s="381"/>
    </row>
    <row r="101" spans="3:4" ht="16.5" thickBot="1">
      <c r="C101" s="1273"/>
      <c r="D101" s="1273"/>
    </row>
  </sheetData>
  <mergeCells count="4">
    <mergeCell ref="B4:E4"/>
    <mergeCell ref="G4:J4"/>
    <mergeCell ref="L4:M4"/>
    <mergeCell ref="O4:P4"/>
  </mergeCells>
  <phoneticPr fontId="52" type="noConversion"/>
  <pageMargins left="0.75" right="0.75" top="1" bottom="1" header="0.5" footer="0.5"/>
  <pageSetup orientation="portrait" horizontalDpi="4294967292" verticalDpi="4294967292"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7"/>
  <sheetViews>
    <sheetView zoomScale="88" zoomScaleNormal="110" zoomScalePageLayoutView="110" workbookViewId="0">
      <pane xSplit="1" ySplit="5" topLeftCell="B30" activePane="bottomRight" state="frozen"/>
      <selection pane="topRight" activeCell="B1" sqref="B1"/>
      <selection pane="bottomLeft" activeCell="A6" sqref="A6"/>
      <selection pane="bottomRight" activeCell="G51" sqref="F51:G51"/>
    </sheetView>
  </sheetViews>
  <sheetFormatPr defaultColWidth="10.875" defaultRowHeight="12.75"/>
  <cols>
    <col min="1" max="1" width="39.875" style="161" customWidth="1"/>
    <col min="2" max="2" width="14.5" style="161" customWidth="1"/>
    <col min="3" max="4" width="15" style="161" customWidth="1"/>
    <col min="5" max="5" width="13.625" style="161" customWidth="1"/>
    <col min="6" max="7" width="12.5" style="161" customWidth="1"/>
    <col min="8" max="8" width="13.375" style="161" customWidth="1"/>
    <col min="9" max="10" width="13" style="161" customWidth="1"/>
    <col min="11" max="11" width="12" style="161" bestFit="1" customWidth="1"/>
    <col min="12" max="13" width="13.625" style="161" customWidth="1"/>
    <col min="14" max="14" width="13.375" style="161" customWidth="1"/>
    <col min="15" max="15" width="11.375" style="161" bestFit="1" customWidth="1"/>
    <col min="16" max="16" width="14" style="161" customWidth="1"/>
    <col min="17" max="17" width="15.875" style="161" customWidth="1"/>
    <col min="18" max="18" width="27.5" style="161" customWidth="1"/>
    <col min="19" max="19" width="11.375" style="161" customWidth="1"/>
    <col min="20" max="21" width="12.625" style="161" customWidth="1"/>
    <col min="22" max="22" width="61.375" style="161" customWidth="1"/>
    <col min="23" max="23" width="13" style="161" customWidth="1"/>
    <col min="24" max="16384" width="10.875" style="161"/>
  </cols>
  <sheetData>
    <row r="1" spans="1:23" ht="13.5" thickBot="1">
      <c r="A1" s="1077" t="s">
        <v>1379</v>
      </c>
      <c r="E1" s="1399" t="s">
        <v>1380</v>
      </c>
      <c r="F1" s="1400"/>
      <c r="G1" s="1400"/>
      <c r="H1" s="1401">
        <f>'Step 5 Exec and Strategic'!T3</f>
        <v>124539878.43596178</v>
      </c>
      <c r="J1" s="409"/>
    </row>
    <row r="2" spans="1:23" ht="13.5" thickBot="1">
      <c r="A2" s="1077"/>
      <c r="E2" s="1399" t="s">
        <v>1801</v>
      </c>
      <c r="F2" s="1400"/>
      <c r="G2" s="1400"/>
      <c r="H2" s="1401">
        <f>SUM('Step 1 Dedicated Funds'!G59:J59)</f>
        <v>3586918.4539999999</v>
      </c>
      <c r="J2" s="409"/>
    </row>
    <row r="3" spans="1:23" ht="13.5" thickBot="1">
      <c r="E3" s="1402" t="s">
        <v>1286</v>
      </c>
      <c r="F3" s="1400"/>
      <c r="G3" s="1400"/>
      <c r="H3" s="1895">
        <f>-SUM(L57,M57)+H2+H1</f>
        <v>-6821095.1100382209</v>
      </c>
    </row>
    <row r="4" spans="1:23">
      <c r="K4" s="1950" t="s">
        <v>1750</v>
      </c>
      <c r="L4" s="1950"/>
      <c r="M4" s="1950"/>
    </row>
    <row r="5" spans="1:23" ht="51.75" thickBot="1">
      <c r="B5" s="403" t="s">
        <v>1255</v>
      </c>
      <c r="C5" s="403" t="s">
        <v>1285</v>
      </c>
      <c r="D5" s="403" t="s">
        <v>1789</v>
      </c>
      <c r="E5" s="403" t="s">
        <v>1787</v>
      </c>
      <c r="F5" s="1805" t="s">
        <v>1790</v>
      </c>
      <c r="G5" s="1805" t="s">
        <v>1791</v>
      </c>
      <c r="H5" s="1805" t="s">
        <v>1783</v>
      </c>
      <c r="I5" s="1805"/>
      <c r="J5" s="403" t="s">
        <v>1796</v>
      </c>
      <c r="K5" s="403" t="s">
        <v>1797</v>
      </c>
      <c r="L5" s="403" t="s">
        <v>1798</v>
      </c>
      <c r="M5" s="1805" t="s">
        <v>1800</v>
      </c>
      <c r="N5" s="403" t="s">
        <v>1799</v>
      </c>
      <c r="O5" s="403" t="s">
        <v>1785</v>
      </c>
      <c r="P5" s="403" t="s">
        <v>1687</v>
      </c>
      <c r="Q5" s="1852" t="s">
        <v>1880</v>
      </c>
      <c r="R5" s="1077" t="s">
        <v>1331</v>
      </c>
    </row>
    <row r="6" spans="1:23" ht="13.5" thickTop="1">
      <c r="A6" s="180" t="s">
        <v>68</v>
      </c>
      <c r="Q6" s="163"/>
    </row>
    <row r="7" spans="1:23" ht="14.1" customHeight="1" thickBot="1">
      <c r="A7" s="171" t="s">
        <v>470</v>
      </c>
      <c r="B7" s="645"/>
      <c r="C7" s="645"/>
      <c r="D7" s="645"/>
      <c r="E7" s="645"/>
      <c r="F7" s="645"/>
      <c r="G7" s="645"/>
      <c r="H7" s="645"/>
      <c r="I7" s="645"/>
      <c r="J7" s="645"/>
      <c r="K7" s="645"/>
      <c r="L7" s="645"/>
      <c r="M7" s="645"/>
      <c r="N7" s="645"/>
      <c r="O7" s="1822">
        <f>H3</f>
        <v>-6821095.1100382209</v>
      </c>
      <c r="P7" s="645"/>
      <c r="R7" s="1406"/>
      <c r="S7" s="1406"/>
      <c r="T7" s="1412" t="s">
        <v>1257</v>
      </c>
      <c r="U7" s="1406" t="s">
        <v>1214</v>
      </c>
      <c r="V7" s="1406" t="s">
        <v>1258</v>
      </c>
      <c r="W7" s="1407" t="s">
        <v>1216</v>
      </c>
    </row>
    <row r="8" spans="1:23" ht="14.1" customHeight="1" thickTop="1">
      <c r="A8" s="171" t="s">
        <v>477</v>
      </c>
      <c r="B8" s="225"/>
      <c r="C8" s="225"/>
      <c r="D8" s="225"/>
      <c r="E8" s="225"/>
      <c r="F8" s="225"/>
      <c r="G8" s="225"/>
      <c r="H8" s="225"/>
      <c r="I8" s="225"/>
      <c r="J8" s="225"/>
      <c r="K8" s="225"/>
      <c r="L8" s="225"/>
      <c r="M8" s="225"/>
      <c r="N8" s="225"/>
      <c r="O8" s="645"/>
      <c r="P8" s="645"/>
      <c r="R8" s="172" t="s">
        <v>83</v>
      </c>
      <c r="S8" s="399"/>
      <c r="T8" s="399">
        <v>0</v>
      </c>
      <c r="U8" s="399"/>
      <c r="V8" s="172"/>
      <c r="W8" s="399">
        <f>SUM(S8:U8)</f>
        <v>0</v>
      </c>
    </row>
    <row r="9" spans="1:23" ht="14.1" customHeight="1">
      <c r="A9" s="171" t="s">
        <v>471</v>
      </c>
      <c r="B9" s="225"/>
      <c r="C9" s="225"/>
      <c r="D9" s="225"/>
      <c r="E9" s="225"/>
      <c r="F9" s="225"/>
      <c r="G9" s="225"/>
      <c r="H9" s="225"/>
      <c r="I9" s="225"/>
      <c r="J9" s="225"/>
      <c r="K9" s="225"/>
      <c r="L9" s="225"/>
      <c r="M9" s="225"/>
      <c r="N9" s="225"/>
      <c r="O9" s="645"/>
      <c r="P9" s="645"/>
      <c r="R9" s="173" t="s">
        <v>84</v>
      </c>
      <c r="S9" s="646"/>
      <c r="T9" s="646"/>
      <c r="U9" s="646"/>
      <c r="V9" s="173"/>
      <c r="W9" s="646"/>
    </row>
    <row r="10" spans="1:23" ht="14.1" customHeight="1">
      <c r="A10" s="171" t="s">
        <v>472</v>
      </c>
      <c r="B10" s="225"/>
      <c r="C10" s="225"/>
      <c r="D10" s="225"/>
      <c r="E10" s="225"/>
      <c r="F10" s="225"/>
      <c r="G10" s="225"/>
      <c r="H10" s="225"/>
      <c r="I10" s="225"/>
      <c r="J10" s="225"/>
      <c r="K10" s="225"/>
      <c r="L10" s="225"/>
      <c r="M10" s="225"/>
      <c r="N10" s="225"/>
      <c r="O10" s="645"/>
      <c r="P10" s="645"/>
      <c r="R10" s="49" t="s">
        <v>86</v>
      </c>
      <c r="S10" s="399"/>
      <c r="T10" s="399">
        <v>0</v>
      </c>
      <c r="U10" s="399"/>
      <c r="V10" s="49"/>
      <c r="W10" s="1408">
        <f>SUM(S10:U10)</f>
        <v>0</v>
      </c>
    </row>
    <row r="11" spans="1:23" ht="14.1" customHeight="1">
      <c r="A11" s="171" t="s">
        <v>473</v>
      </c>
      <c r="B11" s="225"/>
      <c r="C11" s="225"/>
      <c r="D11" s="225"/>
      <c r="E11" s="225"/>
      <c r="F11" s="225"/>
      <c r="G11" s="225"/>
      <c r="H11" s="225"/>
      <c r="I11" s="225"/>
      <c r="J11" s="225"/>
      <c r="K11" s="225"/>
      <c r="L11" s="225"/>
      <c r="M11" s="225"/>
      <c r="N11" s="225"/>
      <c r="O11" s="645"/>
      <c r="P11" s="645"/>
      <c r="R11" s="172" t="s">
        <v>87</v>
      </c>
      <c r="S11" s="167"/>
      <c r="T11" s="167"/>
      <c r="U11" s="167"/>
      <c r="V11" s="172"/>
      <c r="W11" s="167"/>
    </row>
    <row r="12" spans="1:23" ht="14.1" customHeight="1">
      <c r="A12" s="162"/>
      <c r="O12" s="187"/>
      <c r="P12" s="187"/>
      <c r="R12" s="359" t="s">
        <v>452</v>
      </c>
      <c r="S12" s="218"/>
      <c r="T12" s="218"/>
      <c r="U12" s="218"/>
      <c r="V12" s="1513"/>
      <c r="W12" s="1408">
        <f>SUM(S12:U14)</f>
        <v>0</v>
      </c>
    </row>
    <row r="13" spans="1:23" ht="14.1" customHeight="1">
      <c r="A13" s="47" t="s">
        <v>71</v>
      </c>
      <c r="O13" s="47"/>
      <c r="P13" s="47"/>
      <c r="R13" s="359"/>
      <c r="S13" s="218"/>
      <c r="T13" s="218"/>
      <c r="U13" s="218"/>
      <c r="V13" s="1513"/>
      <c r="W13" s="1408"/>
    </row>
    <row r="14" spans="1:23" ht="14.1" customHeight="1">
      <c r="A14" s="173" t="s">
        <v>72</v>
      </c>
      <c r="B14" s="225"/>
      <c r="C14" s="225"/>
      <c r="D14" s="225"/>
      <c r="E14" s="225"/>
      <c r="F14" s="225"/>
      <c r="G14" s="225"/>
      <c r="H14" s="225"/>
      <c r="I14" s="225"/>
      <c r="J14" s="225"/>
      <c r="K14" s="225"/>
      <c r="L14" s="225"/>
      <c r="M14" s="225"/>
      <c r="N14" s="225"/>
      <c r="O14" s="405"/>
      <c r="P14" s="405"/>
      <c r="R14" s="359"/>
      <c r="S14" s="218"/>
      <c r="T14" s="218"/>
      <c r="U14" s="218"/>
      <c r="V14" s="1513"/>
      <c r="W14" s="1408"/>
    </row>
    <row r="15" spans="1:23" ht="14.1" customHeight="1">
      <c r="A15" s="49" t="s">
        <v>73</v>
      </c>
      <c r="B15" s="162"/>
      <c r="C15" s="162"/>
      <c r="D15" s="162"/>
      <c r="E15" s="162"/>
      <c r="F15" s="162"/>
      <c r="G15" s="162"/>
      <c r="H15" s="162"/>
      <c r="I15" s="162"/>
      <c r="J15" s="162"/>
      <c r="K15" s="162"/>
      <c r="L15" s="162"/>
      <c r="M15" s="162"/>
      <c r="N15" s="162"/>
      <c r="O15" s="45"/>
      <c r="P15" s="45"/>
      <c r="R15" s="359"/>
      <c r="S15" s="218"/>
      <c r="T15" s="218"/>
      <c r="U15" s="218"/>
      <c r="V15" s="1513"/>
      <c r="W15" s="1408"/>
    </row>
    <row r="16" spans="1:23" ht="14.1" customHeight="1">
      <c r="A16" s="172" t="s">
        <v>74</v>
      </c>
      <c r="B16" s="162"/>
      <c r="C16" s="162"/>
      <c r="D16" s="162"/>
      <c r="E16" s="162"/>
      <c r="F16" s="162"/>
      <c r="G16" s="162"/>
      <c r="H16" s="162"/>
      <c r="I16" s="162"/>
      <c r="J16" s="162"/>
      <c r="K16" s="162"/>
      <c r="L16" s="162"/>
      <c r="M16" s="162"/>
      <c r="N16" s="162"/>
      <c r="O16" s="398"/>
      <c r="P16" s="398"/>
      <c r="R16" s="358" t="s">
        <v>453</v>
      </c>
      <c r="S16" s="167"/>
      <c r="T16" s="167"/>
      <c r="U16" s="167">
        <v>0</v>
      </c>
      <c r="V16" s="358"/>
      <c r="W16" s="167"/>
    </row>
    <row r="17" spans="1:23" ht="14.1" customHeight="1">
      <c r="A17" s="173" t="s">
        <v>75</v>
      </c>
      <c r="B17" s="225"/>
      <c r="C17" s="225"/>
      <c r="D17" s="225"/>
      <c r="E17" s="225"/>
      <c r="F17" s="225"/>
      <c r="G17" s="225"/>
      <c r="H17" s="225"/>
      <c r="I17" s="225"/>
      <c r="J17" s="225"/>
      <c r="K17" s="225"/>
      <c r="L17" s="225"/>
      <c r="M17" s="225"/>
      <c r="N17" s="225"/>
      <c r="O17" s="405"/>
      <c r="P17" s="405"/>
      <c r="R17" s="172" t="s">
        <v>88</v>
      </c>
      <c r="S17" s="399"/>
      <c r="T17" s="399"/>
      <c r="U17" s="399">
        <v>320000</v>
      </c>
      <c r="V17" s="172" t="s">
        <v>1282</v>
      </c>
      <c r="W17" s="399">
        <f>SUM(S17:U17)</f>
        <v>320000</v>
      </c>
    </row>
    <row r="18" spans="1:23" ht="14.1" customHeight="1">
      <c r="A18" s="49" t="s">
        <v>76</v>
      </c>
      <c r="B18" s="162"/>
      <c r="C18" s="162"/>
      <c r="D18" s="162"/>
      <c r="E18" s="162"/>
      <c r="F18" s="162"/>
      <c r="G18" s="162"/>
      <c r="H18" s="162"/>
      <c r="I18" s="162"/>
      <c r="J18" s="162"/>
      <c r="K18" s="162"/>
      <c r="L18" s="162"/>
      <c r="M18" s="162"/>
      <c r="N18" s="162"/>
      <c r="O18" s="45"/>
      <c r="P18" s="45"/>
      <c r="R18" s="359" t="s">
        <v>1256</v>
      </c>
      <c r="S18" s="218"/>
      <c r="T18" s="218"/>
      <c r="U18" s="218"/>
      <c r="V18" s="359"/>
      <c r="W18" s="218"/>
    </row>
    <row r="19" spans="1:23" ht="14.1" customHeight="1">
      <c r="A19" s="172" t="s">
        <v>77</v>
      </c>
      <c r="B19" s="162"/>
      <c r="C19" s="162"/>
      <c r="D19" s="162"/>
      <c r="E19" s="162"/>
      <c r="F19" s="162"/>
      <c r="G19" s="162"/>
      <c r="H19" s="162"/>
      <c r="I19" s="162"/>
      <c r="J19" s="162"/>
      <c r="K19" s="162"/>
      <c r="L19" s="162"/>
      <c r="M19" s="162"/>
      <c r="N19" s="162"/>
      <c r="O19" s="398"/>
      <c r="P19" s="398"/>
      <c r="R19" s="362" t="s">
        <v>90</v>
      </c>
      <c r="S19" s="647"/>
      <c r="T19" s="647"/>
      <c r="U19" s="647"/>
      <c r="V19" s="362"/>
      <c r="W19" s="647"/>
    </row>
    <row r="20" spans="1:23" ht="14.1" customHeight="1">
      <c r="A20" s="173" t="s">
        <v>78</v>
      </c>
      <c r="B20" s="225"/>
      <c r="C20" s="225"/>
      <c r="D20" s="225"/>
      <c r="E20" s="225"/>
      <c r="F20" s="225"/>
      <c r="G20" s="225"/>
      <c r="H20" s="225"/>
      <c r="I20" s="225"/>
      <c r="J20" s="225"/>
      <c r="K20" s="225"/>
      <c r="L20" s="225"/>
      <c r="M20" s="225"/>
      <c r="N20" s="225"/>
      <c r="O20" s="405"/>
      <c r="P20" s="405"/>
      <c r="R20" s="172"/>
      <c r="V20" s="172"/>
    </row>
    <row r="21" spans="1:23" ht="14.1" customHeight="1">
      <c r="A21" s="172" t="s">
        <v>79</v>
      </c>
      <c r="B21" s="162"/>
      <c r="C21" s="162"/>
      <c r="D21" s="162"/>
      <c r="E21" s="162"/>
      <c r="F21" s="162"/>
      <c r="G21" s="162"/>
      <c r="H21" s="162"/>
      <c r="I21" s="162"/>
      <c r="J21" s="162"/>
      <c r="K21" s="162"/>
      <c r="L21" s="162"/>
      <c r="M21" s="162"/>
      <c r="N21" s="162"/>
      <c r="O21" s="398"/>
      <c r="P21" s="398"/>
      <c r="R21" s="162"/>
      <c r="S21" s="399"/>
      <c r="T21" s="399"/>
      <c r="U21" s="399"/>
      <c r="V21" s="162"/>
      <c r="W21" s="399"/>
    </row>
    <row r="22" spans="1:23" ht="18.95" customHeight="1">
      <c r="A22" s="172" t="s">
        <v>80</v>
      </c>
      <c r="B22" s="404"/>
      <c r="C22" s="404"/>
      <c r="D22" s="404"/>
      <c r="E22" s="404"/>
      <c r="F22" s="404"/>
      <c r="G22" s="404"/>
      <c r="H22" s="404"/>
      <c r="I22" s="404"/>
      <c r="J22" s="404"/>
      <c r="K22" s="404"/>
      <c r="L22" s="404"/>
      <c r="M22" s="404"/>
      <c r="N22" s="404"/>
      <c r="O22" s="398"/>
      <c r="P22" s="398"/>
      <c r="R22" s="49" t="s">
        <v>91</v>
      </c>
      <c r="S22" s="44"/>
      <c r="T22" s="44"/>
      <c r="U22" s="44"/>
      <c r="V22" s="49"/>
      <c r="W22" s="44"/>
    </row>
    <row r="23" spans="1:23" ht="17.100000000000001" customHeight="1">
      <c r="A23" s="173" t="s">
        <v>81</v>
      </c>
      <c r="B23" s="234"/>
      <c r="C23" s="234"/>
      <c r="D23" s="234"/>
      <c r="E23" s="234"/>
      <c r="F23" s="234"/>
      <c r="G23" s="234"/>
      <c r="H23" s="234"/>
      <c r="I23" s="234"/>
      <c r="J23" s="234"/>
      <c r="K23" s="234"/>
      <c r="L23" s="234"/>
      <c r="M23" s="234"/>
      <c r="N23" s="234"/>
      <c r="O23" s="405"/>
      <c r="P23" s="405"/>
      <c r="R23" s="173" t="s">
        <v>92</v>
      </c>
      <c r="S23" s="646"/>
      <c r="T23" s="646"/>
      <c r="U23" s="646">
        <v>15000</v>
      </c>
      <c r="V23" s="173" t="s">
        <v>1876</v>
      </c>
      <c r="W23" s="646"/>
    </row>
    <row r="24" spans="1:23" ht="39.950000000000003" customHeight="1">
      <c r="A24" s="172" t="s">
        <v>82</v>
      </c>
      <c r="B24" s="404"/>
      <c r="C24" s="404"/>
      <c r="D24" s="404"/>
      <c r="E24" s="404"/>
      <c r="F24" s="404"/>
      <c r="G24" s="404"/>
      <c r="H24" s="404"/>
      <c r="I24" s="404"/>
      <c r="J24" s="404"/>
      <c r="K24" s="404"/>
      <c r="L24" s="404"/>
      <c r="M24" s="404"/>
      <c r="N24" s="404"/>
      <c r="O24" s="398"/>
      <c r="P24" s="398"/>
      <c r="R24" s="173"/>
      <c r="S24" s="646"/>
      <c r="T24" s="646"/>
      <c r="U24" s="646"/>
      <c r="V24" s="173"/>
      <c r="W24" s="646"/>
    </row>
    <row r="25" spans="1:23" ht="14.1" customHeight="1">
      <c r="A25" s="172" t="s">
        <v>83</v>
      </c>
      <c r="B25" s="399">
        <v>543366</v>
      </c>
      <c r="C25" s="404">
        <f>W8</f>
        <v>0</v>
      </c>
      <c r="D25" s="404"/>
      <c r="E25" s="404"/>
      <c r="F25" s="404"/>
      <c r="G25" s="404"/>
      <c r="H25" s="404"/>
      <c r="I25" s="404"/>
      <c r="J25" s="404">
        <f>'Step 5 Exec and Strategic'!R27</f>
        <v>0</v>
      </c>
      <c r="K25" s="404">
        <f>C25-J25</f>
        <v>0</v>
      </c>
      <c r="L25" s="167">
        <v>0</v>
      </c>
      <c r="M25" s="167"/>
      <c r="N25" s="404">
        <f>K25-L25</f>
        <v>0</v>
      </c>
      <c r="O25" s="216"/>
      <c r="P25" s="769"/>
      <c r="R25" s="172" t="s">
        <v>93</v>
      </c>
      <c r="S25" s="399"/>
      <c r="T25" s="399"/>
      <c r="U25" s="399">
        <v>0</v>
      </c>
      <c r="V25" s="172"/>
      <c r="W25" s="399">
        <f>SUM(S25:U25)</f>
        <v>0</v>
      </c>
    </row>
    <row r="26" spans="1:23" ht="14.1" customHeight="1">
      <c r="A26" s="173" t="s">
        <v>84</v>
      </c>
      <c r="B26" s="646"/>
      <c r="C26" s="234"/>
      <c r="D26" s="234"/>
      <c r="E26" s="234"/>
      <c r="F26" s="234"/>
      <c r="G26" s="234"/>
      <c r="H26" s="234"/>
      <c r="I26" s="234"/>
      <c r="J26" s="234"/>
      <c r="K26" s="234"/>
      <c r="L26" s="220"/>
      <c r="M26" s="220"/>
      <c r="N26" s="234">
        <f t="shared" ref="N26:N28" si="0">K26-L26</f>
        <v>0</v>
      </c>
      <c r="O26" s="646"/>
      <c r="P26" s="770"/>
      <c r="R26" s="49" t="s">
        <v>94</v>
      </c>
      <c r="S26" s="44"/>
      <c r="T26" s="44"/>
      <c r="U26" s="44"/>
      <c r="V26" s="49"/>
      <c r="W26" s="44"/>
    </row>
    <row r="27" spans="1:23" ht="14.1" customHeight="1">
      <c r="A27" s="49" t="s">
        <v>86</v>
      </c>
      <c r="B27" s="399"/>
      <c r="C27" s="404"/>
      <c r="D27" s="404"/>
      <c r="E27" s="404"/>
      <c r="F27" s="404"/>
      <c r="G27" s="404"/>
      <c r="H27" s="404"/>
      <c r="I27" s="404"/>
      <c r="J27" s="404"/>
      <c r="K27" s="404">
        <v>0</v>
      </c>
      <c r="L27" s="167">
        <v>0</v>
      </c>
      <c r="M27" s="167"/>
      <c r="N27" s="404">
        <f>K27-L27</f>
        <v>0</v>
      </c>
      <c r="O27" s="44"/>
      <c r="P27" s="769"/>
      <c r="R27" s="173" t="s">
        <v>95</v>
      </c>
      <c r="S27" s="646"/>
      <c r="T27" s="646"/>
      <c r="U27" s="646"/>
      <c r="V27" s="173"/>
      <c r="W27" s="646"/>
    </row>
    <row r="28" spans="1:23" ht="14.1" customHeight="1">
      <c r="A28" s="172" t="s">
        <v>87</v>
      </c>
      <c r="B28" s="167"/>
      <c r="C28" s="162"/>
      <c r="D28" s="162"/>
      <c r="E28" s="162"/>
      <c r="F28" s="162"/>
      <c r="G28" s="162"/>
      <c r="H28" s="162"/>
      <c r="I28" s="162"/>
      <c r="J28" s="1648"/>
      <c r="K28" s="162"/>
      <c r="L28" s="167"/>
      <c r="M28" s="167"/>
      <c r="N28" s="404">
        <f t="shared" si="0"/>
        <v>0</v>
      </c>
      <c r="O28" s="162"/>
      <c r="P28" s="771"/>
      <c r="R28" s="172" t="s">
        <v>96</v>
      </c>
      <c r="S28" s="399"/>
      <c r="T28" s="399"/>
      <c r="U28" s="399">
        <v>200000</v>
      </c>
      <c r="V28" s="172" t="s">
        <v>1877</v>
      </c>
      <c r="W28" s="399">
        <f>SUM(S28:U31)</f>
        <v>531000</v>
      </c>
    </row>
    <row r="29" spans="1:23" ht="14.1" customHeight="1">
      <c r="A29" s="359" t="s">
        <v>452</v>
      </c>
      <c r="B29" s="218">
        <v>4706010</v>
      </c>
      <c r="C29" s="234">
        <v>832979</v>
      </c>
      <c r="D29" s="234">
        <v>3241</v>
      </c>
      <c r="E29" s="1819">
        <f>331301-331301</f>
        <v>0</v>
      </c>
      <c r="F29" s="234">
        <f>C29-D29-E29</f>
        <v>829738</v>
      </c>
      <c r="G29" s="234">
        <v>-16442</v>
      </c>
      <c r="H29" s="234">
        <f>SUM(D29:G29)</f>
        <v>816537</v>
      </c>
      <c r="I29" s="234"/>
      <c r="J29" s="234">
        <f>SUM('Step 5 Exec and Strategic'!B31:E31)+SUM('Step 5 Exec and Strategic'!O31:P31)</f>
        <v>0</v>
      </c>
      <c r="K29" s="234">
        <f>'Step 5 Exec and Strategic'!L31</f>
        <v>0</v>
      </c>
      <c r="L29" s="220">
        <f>SUM('Step 5 Exec and Strategic'!G31:J31)</f>
        <v>0</v>
      </c>
      <c r="M29" s="220">
        <f>SUM(F29:G29)-L29+Q29</f>
        <v>813296</v>
      </c>
      <c r="N29" s="234">
        <f>SUM(J29:M29)</f>
        <v>813296</v>
      </c>
      <c r="O29" s="218"/>
      <c r="P29" s="1405">
        <f>N29-H29</f>
        <v>-3241</v>
      </c>
      <c r="Q29" s="1060">
        <f>W12</f>
        <v>0</v>
      </c>
      <c r="R29" s="172"/>
      <c r="S29" s="399"/>
      <c r="T29" s="399"/>
      <c r="U29" s="399">
        <v>140000</v>
      </c>
      <c r="V29" s="172" t="s">
        <v>1878</v>
      </c>
      <c r="W29" s="399"/>
    </row>
    <row r="30" spans="1:23" ht="14.1" customHeight="1">
      <c r="A30" s="358" t="s">
        <v>453</v>
      </c>
      <c r="B30" s="167"/>
      <c r="C30" s="162"/>
      <c r="D30" s="162"/>
      <c r="E30" s="162"/>
      <c r="F30" s="162"/>
      <c r="G30" s="162"/>
      <c r="H30" s="162"/>
      <c r="I30" s="162"/>
      <c r="J30" s="162"/>
      <c r="K30" s="162"/>
      <c r="L30" s="167"/>
      <c r="M30" s="167"/>
      <c r="N30" s="404"/>
      <c r="O30" s="162"/>
      <c r="P30" s="1278"/>
      <c r="Q30" s="1060"/>
      <c r="R30" s="172"/>
      <c r="S30" s="399"/>
      <c r="T30" s="399"/>
      <c r="U30" s="399">
        <v>120000</v>
      </c>
      <c r="V30" s="172" t="s">
        <v>1952</v>
      </c>
      <c r="W30" s="399"/>
    </row>
    <row r="31" spans="1:23" ht="14.1" customHeight="1">
      <c r="A31" s="172" t="s">
        <v>88</v>
      </c>
      <c r="B31" s="399">
        <v>14579961</v>
      </c>
      <c r="C31" s="404">
        <v>15220117</v>
      </c>
      <c r="D31" s="404">
        <v>2857850</v>
      </c>
      <c r="E31" s="404">
        <v>3207</v>
      </c>
      <c r="F31" s="404">
        <f>C31-D31-E31</f>
        <v>12359060</v>
      </c>
      <c r="G31" s="404">
        <v>-244966</v>
      </c>
      <c r="H31" s="404">
        <f>SUM(D31:G31)</f>
        <v>14975151</v>
      </c>
      <c r="I31" s="404"/>
      <c r="J31" s="1806">
        <f>SUM('Step 5 Exec and Strategic'!B33:E33)+SUM('Step 5 Exec and Strategic'!O33:P33)</f>
        <v>2877712.28</v>
      </c>
      <c r="K31" s="404">
        <f>'Step 5 Exec and Strategic'!L33</f>
        <v>1809.122006452656</v>
      </c>
      <c r="L31" s="167">
        <f>SUM('Step 5 Exec and Strategic'!G33:J33)</f>
        <v>0</v>
      </c>
      <c r="M31" s="167">
        <f>SUM(F31:G31)-L31+Q31</f>
        <v>12434094</v>
      </c>
      <c r="N31" s="404">
        <f>SUM(J31:M31)</f>
        <v>15313615.402006453</v>
      </c>
      <c r="O31" s="399"/>
      <c r="P31" s="163">
        <f>N31-H31</f>
        <v>338464.4020064529</v>
      </c>
      <c r="Q31" s="1060">
        <f>W17</f>
        <v>320000</v>
      </c>
      <c r="R31" s="172"/>
      <c r="S31" s="399"/>
      <c r="T31" s="399"/>
      <c r="U31" s="399">
        <v>71000</v>
      </c>
      <c r="V31" s="172" t="s">
        <v>1954</v>
      </c>
      <c r="W31" s="399"/>
    </row>
    <row r="32" spans="1:23" ht="14.1" customHeight="1">
      <c r="A32" s="359" t="s">
        <v>1256</v>
      </c>
      <c r="B32" s="218"/>
      <c r="C32" s="225"/>
      <c r="D32" s="225"/>
      <c r="E32" s="225"/>
      <c r="F32" s="225"/>
      <c r="G32" s="225"/>
      <c r="H32" s="225"/>
      <c r="I32" s="225"/>
      <c r="J32" s="225"/>
      <c r="K32" s="225"/>
      <c r="L32" s="220"/>
      <c r="M32" s="220"/>
      <c r="N32" s="225"/>
      <c r="O32" s="218"/>
      <c r="P32" s="772"/>
      <c r="Q32" s="1060"/>
      <c r="R32" s="1409" t="s">
        <v>474</v>
      </c>
      <c r="S32" s="1410"/>
      <c r="T32" s="1410"/>
      <c r="U32" s="1410">
        <v>60000</v>
      </c>
      <c r="V32" s="1409" t="s">
        <v>1897</v>
      </c>
      <c r="W32" s="1408">
        <f>SUM(S32:U33)</f>
        <v>60000</v>
      </c>
    </row>
    <row r="33" spans="1:23" ht="14.1" customHeight="1">
      <c r="A33" s="362" t="s">
        <v>90</v>
      </c>
      <c r="B33" s="647"/>
      <c r="C33" s="648"/>
      <c r="D33" s="648"/>
      <c r="E33" s="648"/>
      <c r="F33" s="648"/>
      <c r="G33" s="648"/>
      <c r="H33" s="648"/>
      <c r="I33" s="648"/>
      <c r="J33" s="648"/>
      <c r="K33" s="648"/>
      <c r="L33" s="1253"/>
      <c r="M33" s="1253"/>
      <c r="N33" s="648"/>
      <c r="O33" s="647"/>
      <c r="P33" s="773"/>
      <c r="Q33" s="1060"/>
      <c r="R33" s="1409"/>
      <c r="S33" s="1410"/>
      <c r="T33" s="1410"/>
      <c r="U33" s="1410"/>
      <c r="V33" s="1514"/>
      <c r="W33" s="1408"/>
    </row>
    <row r="34" spans="1:23" ht="14.1" customHeight="1">
      <c r="A34" s="172"/>
      <c r="F34" s="163"/>
      <c r="L34" s="1060"/>
      <c r="M34" s="1060"/>
      <c r="N34" s="162"/>
      <c r="P34" s="774"/>
      <c r="Q34" s="1060"/>
      <c r="R34" s="172" t="s">
        <v>1947</v>
      </c>
      <c r="S34" s="399"/>
      <c r="T34" s="399"/>
      <c r="U34" s="399">
        <v>160000</v>
      </c>
      <c r="V34" s="172" t="s">
        <v>1827</v>
      </c>
      <c r="W34" s="399">
        <f>SUM(S34:U40)</f>
        <v>207000</v>
      </c>
    </row>
    <row r="35" spans="1:23" ht="14.1" customHeight="1">
      <c r="A35" s="162"/>
      <c r="B35" s="399"/>
      <c r="C35" s="162"/>
      <c r="D35" s="162"/>
      <c r="E35" s="162"/>
      <c r="F35" s="162"/>
      <c r="G35" s="162"/>
      <c r="H35" s="162"/>
      <c r="I35" s="162"/>
      <c r="J35" s="162"/>
      <c r="K35" s="162"/>
      <c r="L35" s="167"/>
      <c r="M35" s="167"/>
      <c r="N35" s="162"/>
      <c r="O35" s="399"/>
      <c r="P35" s="769"/>
      <c r="Q35" s="1060"/>
      <c r="R35" s="172"/>
      <c r="S35" s="399"/>
      <c r="T35" s="399"/>
      <c r="U35" s="399">
        <v>47000</v>
      </c>
      <c r="V35" s="172" t="s">
        <v>1875</v>
      </c>
      <c r="W35" s="399"/>
    </row>
    <row r="36" spans="1:23" ht="14.1" customHeight="1">
      <c r="A36" s="49" t="s">
        <v>91</v>
      </c>
      <c r="B36" s="44"/>
      <c r="C36" s="162"/>
      <c r="D36" s="162"/>
      <c r="E36" s="162"/>
      <c r="F36" s="162"/>
      <c r="G36" s="404"/>
      <c r="H36" s="162"/>
      <c r="I36" s="162"/>
      <c r="J36" s="162"/>
      <c r="K36" s="162"/>
      <c r="L36" s="167"/>
      <c r="M36" s="167"/>
      <c r="N36" s="162"/>
      <c r="O36" s="44"/>
      <c r="P36" s="775"/>
      <c r="Q36" s="1060"/>
      <c r="R36" s="172"/>
      <c r="S36" s="399"/>
      <c r="T36" s="399"/>
      <c r="U36" s="399"/>
      <c r="V36" s="172"/>
      <c r="W36" s="399"/>
    </row>
    <row r="37" spans="1:23" ht="14.1" customHeight="1">
      <c r="A37" s="173" t="s">
        <v>92</v>
      </c>
      <c r="B37" s="646"/>
      <c r="C37" s="225"/>
      <c r="D37" s="225"/>
      <c r="E37" s="225"/>
      <c r="F37" s="225"/>
      <c r="G37" s="225"/>
      <c r="H37" s="225"/>
      <c r="I37" s="225"/>
      <c r="J37" s="225"/>
      <c r="K37" s="225"/>
      <c r="L37" s="220"/>
      <c r="M37" s="220"/>
      <c r="N37" s="225"/>
      <c r="O37" s="646"/>
      <c r="P37" s="770"/>
      <c r="Q37" s="1060"/>
      <c r="R37" s="172"/>
      <c r="S37" s="399"/>
      <c r="T37" s="399"/>
      <c r="U37" s="399"/>
      <c r="V37" s="1512"/>
      <c r="W37" s="399"/>
    </row>
    <row r="38" spans="1:23" ht="14.1" customHeight="1">
      <c r="A38" s="172" t="s">
        <v>93</v>
      </c>
      <c r="B38" s="399">
        <v>4019773</v>
      </c>
      <c r="C38" s="404">
        <v>4197208</v>
      </c>
      <c r="D38" s="404">
        <v>26585</v>
      </c>
      <c r="E38" s="404"/>
      <c r="F38" s="1806">
        <f>C38-D38-E38+D38</f>
        <v>4197208</v>
      </c>
      <c r="G38" s="404">
        <v>-115255</v>
      </c>
      <c r="H38" s="1881">
        <f>SUM(F38:G38)</f>
        <v>4081953</v>
      </c>
      <c r="I38" s="404"/>
      <c r="J38" s="1806">
        <f>SUM('Step 5 Exec and Strategic'!B41:E41)+SUM('Step 5 Exec and Strategic'!O41:P41)</f>
        <v>126534</v>
      </c>
      <c r="K38" s="404">
        <f>'Step 5 Exec and Strategic'!L41</f>
        <v>0</v>
      </c>
      <c r="L38" s="167">
        <f>SUM('Step 5 Exec and Strategic'!G41:J41)</f>
        <v>0</v>
      </c>
      <c r="M38" s="167">
        <f>SUM(F38:G38)-L38+Q38</f>
        <v>4081953</v>
      </c>
      <c r="N38" s="404">
        <f>SUM(J38:M38)</f>
        <v>4208487</v>
      </c>
      <c r="O38" s="216"/>
      <c r="P38" s="163">
        <f>N38-H38</f>
        <v>126534</v>
      </c>
      <c r="Q38" s="1060">
        <f>W25</f>
        <v>0</v>
      </c>
      <c r="R38" s="172"/>
      <c r="S38" s="399"/>
      <c r="T38" s="399"/>
      <c r="U38" s="399"/>
      <c r="V38" s="1512"/>
      <c r="W38" s="399"/>
    </row>
    <row r="39" spans="1:23" ht="14.1" customHeight="1">
      <c r="A39" s="49" t="s">
        <v>94</v>
      </c>
      <c r="B39" s="44"/>
      <c r="C39" s="162"/>
      <c r="D39" s="162"/>
      <c r="E39" s="162"/>
      <c r="F39" s="162"/>
      <c r="G39" s="162"/>
      <c r="H39" s="162"/>
      <c r="I39" s="162"/>
      <c r="J39" s="162"/>
      <c r="K39" s="162"/>
      <c r="L39" s="167"/>
      <c r="M39" s="167"/>
      <c r="N39" s="162"/>
      <c r="O39" s="44"/>
      <c r="P39" s="775"/>
      <c r="Q39" s="1060"/>
      <c r="R39" s="172"/>
      <c r="S39" s="399"/>
      <c r="T39" s="399"/>
      <c r="U39" s="399"/>
      <c r="V39" s="172"/>
      <c r="W39" s="399"/>
    </row>
    <row r="40" spans="1:23" ht="14.1" customHeight="1">
      <c r="A40" s="173" t="s">
        <v>95</v>
      </c>
      <c r="B40" s="646"/>
      <c r="C40" s="225"/>
      <c r="D40" s="225"/>
      <c r="E40" s="225"/>
      <c r="F40" s="225"/>
      <c r="G40" s="225"/>
      <c r="H40" s="225"/>
      <c r="I40" s="225"/>
      <c r="J40" s="225"/>
      <c r="K40" s="225"/>
      <c r="L40" s="220"/>
      <c r="M40" s="220"/>
      <c r="N40" s="225"/>
      <c r="O40" s="646"/>
      <c r="P40" s="770"/>
      <c r="Q40" s="1060"/>
      <c r="R40" s="172"/>
      <c r="S40" s="399"/>
      <c r="T40" s="399"/>
      <c r="U40" s="399"/>
      <c r="V40" s="172"/>
      <c r="W40" s="399"/>
    </row>
    <row r="41" spans="1:23" ht="14.1" customHeight="1">
      <c r="A41" s="172" t="s">
        <v>96</v>
      </c>
      <c r="B41" s="399">
        <v>9724870</v>
      </c>
      <c r="C41" s="1806">
        <v>10531320</v>
      </c>
      <c r="D41" s="1806">
        <v>3055800</v>
      </c>
      <c r="E41" s="1806">
        <v>45371</v>
      </c>
      <c r="F41" s="1806">
        <f>C41-D41-E41</f>
        <v>7430149</v>
      </c>
      <c r="G41" s="1806"/>
      <c r="H41" s="1806">
        <f>SUM(D41:G41)</f>
        <v>10531320</v>
      </c>
      <c r="I41" s="1806"/>
      <c r="J41" s="1806">
        <f>SUM('Step 5 Exec and Strategic'!B44:E44)+SUM('Step 5 Exec and Strategic'!O44:P44)</f>
        <v>3102100</v>
      </c>
      <c r="K41" s="404">
        <f>'Step 5 Exec and Strategic'!L44</f>
        <v>44542.69768917637</v>
      </c>
      <c r="L41" s="167">
        <f>SUM('Step 5 Exec and Strategic'!G44:J44)</f>
        <v>0</v>
      </c>
      <c r="M41" s="167">
        <f>SUM(F41:G41)-L41+Q41</f>
        <v>7961149</v>
      </c>
      <c r="N41" s="1808">
        <f t="shared" ref="N41:N51" si="1">SUM(J41:M41)</f>
        <v>11107791.697689176</v>
      </c>
      <c r="O41" s="216"/>
      <c r="P41" s="1277">
        <f t="shared" ref="P41:P51" si="2">N41-H41</f>
        <v>576471.69768917561</v>
      </c>
      <c r="Q41" s="1060">
        <f>W28</f>
        <v>531000</v>
      </c>
      <c r="R41" s="1411" t="s">
        <v>98</v>
      </c>
      <c r="S41" s="1408"/>
      <c r="T41" s="1408"/>
      <c r="U41" s="1408"/>
      <c r="V41" s="1411"/>
      <c r="W41" s="1408">
        <f>SUM(S41:U44)</f>
        <v>1106000</v>
      </c>
    </row>
    <row r="42" spans="1:23" ht="14.1" customHeight="1">
      <c r="A42" s="358" t="s">
        <v>474</v>
      </c>
      <c r="B42" s="167">
        <v>5000049</v>
      </c>
      <c r="C42" s="1806">
        <v>6459354</v>
      </c>
      <c r="D42" s="1806">
        <v>2941161</v>
      </c>
      <c r="E42" s="1807">
        <f>1837874-1175567</f>
        <v>662307</v>
      </c>
      <c r="F42" s="1806">
        <f>C42-D42-E42</f>
        <v>2855886</v>
      </c>
      <c r="G42" s="1806">
        <v>-78093</v>
      </c>
      <c r="H42" s="1806">
        <f t="shared" ref="H42:H50" si="3">SUM(D42:G42)</f>
        <v>6381261</v>
      </c>
      <c r="I42" s="1806"/>
      <c r="J42" s="1821">
        <f>SUM('Step 5 Exec and Strategic'!B45:E45)+SUM('Step 5 Exec and Strategic'!O45:P45)</f>
        <v>1773290</v>
      </c>
      <c r="K42" s="167">
        <f>'Step 5 Exec and Strategic'!L45</f>
        <v>601734.89493933867</v>
      </c>
      <c r="L42" s="167">
        <f>SUM('Step 5 Exec and Strategic'!G45:J45)</f>
        <v>0</v>
      </c>
      <c r="M42" s="167">
        <f t="shared" ref="M42:M49" si="4">SUM(F42:G42)-L42+Q42</f>
        <v>2837793</v>
      </c>
      <c r="N42" s="1808">
        <f t="shared" si="1"/>
        <v>5212817.8949393388</v>
      </c>
      <c r="O42" s="1806"/>
      <c r="P42" s="1277">
        <f>N42-H42</f>
        <v>-1168443.1050606612</v>
      </c>
      <c r="Q42" s="1060">
        <f>W32</f>
        <v>60000</v>
      </c>
      <c r="R42" s="172"/>
      <c r="S42" s="399"/>
      <c r="T42" s="399"/>
      <c r="U42" s="399">
        <v>311000</v>
      </c>
      <c r="V42" s="172" t="s">
        <v>1283</v>
      </c>
      <c r="W42" s="399"/>
    </row>
    <row r="43" spans="1:23" ht="14.1" customHeight="1">
      <c r="A43" s="172" t="s">
        <v>1947</v>
      </c>
      <c r="B43" s="399">
        <v>3643184</v>
      </c>
      <c r="C43" s="1806">
        <v>1930650</v>
      </c>
      <c r="D43" s="1806">
        <v>43522</v>
      </c>
      <c r="E43" s="1806">
        <v>4591</v>
      </c>
      <c r="F43" s="1806">
        <f t="shared" ref="F43:F44" si="5">C43-D43-E43</f>
        <v>1882537</v>
      </c>
      <c r="G43" s="1806">
        <v>-26037</v>
      </c>
      <c r="H43" s="1806">
        <f>SUM(D43:G43)</f>
        <v>1904613</v>
      </c>
      <c r="I43" s="1806"/>
      <c r="J43" s="1806">
        <f>SUM('Step 5 Exec and Strategic'!B46:E46)+SUM('Step 5 Exec and Strategic'!O46:P46)</f>
        <v>46300</v>
      </c>
      <c r="K43" s="404">
        <f>'Step 5 Exec and Strategic'!L46</f>
        <v>4934.5384274804937</v>
      </c>
      <c r="L43" s="167">
        <f>SUM('Step 5 Exec and Strategic'!G46:J46)</f>
        <v>678606.19400000002</v>
      </c>
      <c r="M43" s="167">
        <f t="shared" si="4"/>
        <v>1384893.8059999999</v>
      </c>
      <c r="N43" s="1808">
        <f t="shared" si="1"/>
        <v>2114734.5384274805</v>
      </c>
      <c r="O43" s="216"/>
      <c r="P43" s="1277">
        <f t="shared" si="2"/>
        <v>210121.5384274805</v>
      </c>
      <c r="Q43" s="1060">
        <f>W34</f>
        <v>207000</v>
      </c>
      <c r="R43" s="172"/>
      <c r="S43" s="399"/>
      <c r="T43" s="399"/>
      <c r="U43" s="399">
        <v>270000</v>
      </c>
      <c r="V43" s="172" t="s">
        <v>1898</v>
      </c>
      <c r="W43" s="399"/>
    </row>
    <row r="44" spans="1:23" ht="14.1" customHeight="1">
      <c r="A44" s="173" t="s">
        <v>98</v>
      </c>
      <c r="B44" s="218">
        <v>19774660</v>
      </c>
      <c r="C44" s="406">
        <v>24224945</v>
      </c>
      <c r="D44" s="406">
        <v>2631856</v>
      </c>
      <c r="E44" s="406">
        <v>5517</v>
      </c>
      <c r="F44" s="406">
        <f t="shared" si="5"/>
        <v>21587572</v>
      </c>
      <c r="G44" s="406">
        <v>-454388</v>
      </c>
      <c r="H44" s="406">
        <f t="shared" si="3"/>
        <v>23770557</v>
      </c>
      <c r="I44" s="406"/>
      <c r="J44" s="406">
        <f>SUM('Step 5 Exec and Strategic'!B47:E47)+SUM('Step 5 Exec and Strategic'!O47:P47)</f>
        <v>2816800</v>
      </c>
      <c r="K44" s="234">
        <f>'Step 5 Exec and Strategic'!L47</f>
        <v>602.97011536474429</v>
      </c>
      <c r="L44" s="220">
        <f>SUM('Step 5 Exec and Strategic'!G47:J47)</f>
        <v>1066381.162</v>
      </c>
      <c r="M44" s="220">
        <f>SUM(F44:G44)-L44+Q44</f>
        <v>21172802.838</v>
      </c>
      <c r="N44" s="1810">
        <f t="shared" si="1"/>
        <v>25056586.970115364</v>
      </c>
      <c r="O44" s="217"/>
      <c r="P44" s="1405">
        <f t="shared" si="2"/>
        <v>1286029.9701153636</v>
      </c>
      <c r="Q44" s="1060">
        <f>W41</f>
        <v>1106000</v>
      </c>
      <c r="R44" s="172"/>
      <c r="S44" s="399"/>
      <c r="T44" s="399"/>
      <c r="U44" s="399">
        <v>525000</v>
      </c>
      <c r="V44" s="172" t="s">
        <v>1977</v>
      </c>
      <c r="W44" s="399"/>
    </row>
    <row r="45" spans="1:23" ht="14.1" customHeight="1">
      <c r="A45" s="172" t="s">
        <v>454</v>
      </c>
      <c r="B45" s="399">
        <v>4501875</v>
      </c>
      <c r="C45" s="1806">
        <v>5052176</v>
      </c>
      <c r="D45" s="1806">
        <f>950000+1494900</f>
        <v>2444900</v>
      </c>
      <c r="E45" s="1806">
        <v>0</v>
      </c>
      <c r="F45" s="1806">
        <f t="shared" ref="F45:F50" si="6">C45-D45-E45</f>
        <v>2607276</v>
      </c>
      <c r="G45" s="1806">
        <v>-73299</v>
      </c>
      <c r="H45" s="1806">
        <f t="shared" si="3"/>
        <v>4978877</v>
      </c>
      <c r="I45" s="1806"/>
      <c r="J45" s="1806">
        <f>SUM('Step 5 Exec and Strategic'!B48:E48)+SUM('Step 5 Exec and Strategic'!O48:P48)</f>
        <v>2340950</v>
      </c>
      <c r="K45" s="404">
        <f>'Step 5 Exec and Strategic'!L48</f>
        <v>0</v>
      </c>
      <c r="L45" s="167">
        <f>SUM('Step 5 Exec and Strategic'!G48:J48)</f>
        <v>242359.35500000001</v>
      </c>
      <c r="M45" s="167">
        <f>SUM(F45:G45)-L45+Q45</f>
        <v>2291617.645</v>
      </c>
      <c r="N45" s="1808">
        <f t="shared" si="1"/>
        <v>4874927</v>
      </c>
      <c r="O45" s="216"/>
      <c r="P45" s="1277">
        <f t="shared" si="2"/>
        <v>-103950</v>
      </c>
      <c r="Q45" s="1060">
        <f>W46</f>
        <v>0</v>
      </c>
      <c r="R45" s="172"/>
      <c r="S45" s="399"/>
      <c r="T45" s="399"/>
      <c r="U45" s="399"/>
      <c r="V45" s="1512"/>
      <c r="W45" s="399"/>
    </row>
    <row r="46" spans="1:23" ht="14.1" customHeight="1">
      <c r="A46" s="49" t="s">
        <v>85</v>
      </c>
      <c r="B46" s="399">
        <v>1522413</v>
      </c>
      <c r="C46" s="1806">
        <v>1542085</v>
      </c>
      <c r="D46" s="1806">
        <v>0</v>
      </c>
      <c r="E46" s="1806">
        <v>15084</v>
      </c>
      <c r="F46" s="1806">
        <f t="shared" si="6"/>
        <v>1527001</v>
      </c>
      <c r="G46" s="1806">
        <v>-34229</v>
      </c>
      <c r="H46" s="1806">
        <f>SUM(D46:G46)</f>
        <v>1507856</v>
      </c>
      <c r="I46" s="1806"/>
      <c r="J46" s="1806">
        <f>SUM('Step 5 Exec and Strategic'!B49:E49)+SUM('Step 5 Exec and Strategic'!O49:P49)</f>
        <v>41670</v>
      </c>
      <c r="K46" s="404">
        <f>'Step 5 Exec and Strategic'!L49</f>
        <v>11213.601234313732</v>
      </c>
      <c r="L46" s="167">
        <f>SUM('Step 5 Exec and Strategic'!G49:J49)</f>
        <v>0</v>
      </c>
      <c r="M46" s="167">
        <f t="shared" si="4"/>
        <v>1492772</v>
      </c>
      <c r="N46" s="1808">
        <f t="shared" si="1"/>
        <v>1545655.6012343138</v>
      </c>
      <c r="O46" s="216"/>
      <c r="P46" s="1277">
        <f t="shared" si="2"/>
        <v>37799.601234313799</v>
      </c>
      <c r="Q46" s="1060">
        <f>W47</f>
        <v>0</v>
      </c>
      <c r="R46" s="1411" t="s">
        <v>454</v>
      </c>
      <c r="S46" s="1408"/>
      <c r="T46" s="1408"/>
      <c r="U46" s="1408"/>
      <c r="V46" s="1411"/>
      <c r="W46" s="1408">
        <f>SUM(S46:U46)</f>
        <v>0</v>
      </c>
    </row>
    <row r="47" spans="1:23" ht="14.1" customHeight="1">
      <c r="A47" s="359" t="s">
        <v>99</v>
      </c>
      <c r="B47" s="218">
        <v>7580439</v>
      </c>
      <c r="C47" s="406">
        <v>7933343</v>
      </c>
      <c r="D47" s="406">
        <v>3440000</v>
      </c>
      <c r="E47" s="406">
        <v>0</v>
      </c>
      <c r="F47" s="406">
        <f t="shared" si="6"/>
        <v>4493343</v>
      </c>
      <c r="G47" s="406">
        <v>0</v>
      </c>
      <c r="H47" s="406">
        <f t="shared" si="3"/>
        <v>7933343</v>
      </c>
      <c r="I47" s="406"/>
      <c r="J47" s="406">
        <f>SUM('Step 5 Exec and Strategic'!B50:E50)+SUM('Step 5 Exec and Strategic'!O50:P50)</f>
        <v>3658800</v>
      </c>
      <c r="K47" s="234">
        <f>'Step 5 Exec and Strategic'!L50</f>
        <v>0</v>
      </c>
      <c r="L47" s="220">
        <f>SUM('Step 5 Exec and Strategic'!G50:J50)</f>
        <v>242359.35500000001</v>
      </c>
      <c r="M47" s="220">
        <f t="shared" si="4"/>
        <v>4250983.6449999996</v>
      </c>
      <c r="N47" s="1810">
        <f t="shared" si="1"/>
        <v>8152143</v>
      </c>
      <c r="O47" s="218"/>
      <c r="P47" s="1405">
        <f t="shared" si="2"/>
        <v>218800</v>
      </c>
      <c r="Q47" s="1060">
        <f>W48</f>
        <v>0</v>
      </c>
      <c r="R47" s="49" t="s">
        <v>85</v>
      </c>
      <c r="S47" s="399"/>
      <c r="T47" s="399"/>
      <c r="U47" s="399"/>
      <c r="V47" s="49"/>
      <c r="W47" s="399">
        <f>SUM(S47:U47)</f>
        <v>0</v>
      </c>
    </row>
    <row r="48" spans="1:23" ht="14.1" customHeight="1">
      <c r="A48" s="172" t="s">
        <v>100</v>
      </c>
      <c r="B48" s="399">
        <v>7705927</v>
      </c>
      <c r="C48" s="1806">
        <v>13648182</v>
      </c>
      <c r="D48" s="1806">
        <v>2289253</v>
      </c>
      <c r="E48" s="1807">
        <f>8994+1373275</f>
        <v>1382269</v>
      </c>
      <c r="F48" s="1806">
        <f t="shared" si="6"/>
        <v>9976660</v>
      </c>
      <c r="G48" s="1806">
        <v>-252132</v>
      </c>
      <c r="H48" s="1806">
        <f>SUM(D48:G48)</f>
        <v>13396050</v>
      </c>
      <c r="I48" s="1806"/>
      <c r="J48" s="1821">
        <f>SUM('Step 5 Exec and Strategic'!B51:E51)+SUM('Step 5 Exec and Strategic'!O51:P51)</f>
        <v>1410054.4620000001</v>
      </c>
      <c r="K48" s="404">
        <f>'Step 5 Exec and Strategic'!L51</f>
        <v>1359432.3894694957</v>
      </c>
      <c r="L48" s="167">
        <f>SUM('Step 5 Exec and Strategic'!G51:J51)</f>
        <v>0</v>
      </c>
      <c r="M48" s="167">
        <f>SUM(F48:G48)-L48+Q48</f>
        <v>9790128</v>
      </c>
      <c r="N48" s="1808">
        <f t="shared" si="1"/>
        <v>12559614.851469496</v>
      </c>
      <c r="O48" s="399"/>
      <c r="P48" s="1277">
        <f t="shared" si="2"/>
        <v>-836435.14853050373</v>
      </c>
      <c r="Q48" s="1060">
        <f>W49</f>
        <v>65600</v>
      </c>
      <c r="R48" s="1411" t="s">
        <v>99</v>
      </c>
      <c r="S48" s="1408"/>
      <c r="T48" s="1408"/>
      <c r="U48" s="1408"/>
      <c r="V48" s="1411"/>
      <c r="W48" s="1408">
        <f>SUM(S48:U48)</f>
        <v>0</v>
      </c>
    </row>
    <row r="49" spans="1:23" ht="14.1" customHeight="1">
      <c r="A49" s="172" t="s">
        <v>101</v>
      </c>
      <c r="B49" s="399">
        <v>12025835</v>
      </c>
      <c r="C49" s="1806">
        <v>13833224</v>
      </c>
      <c r="D49" s="1807">
        <f>3382127-1662127</f>
        <v>1720000</v>
      </c>
      <c r="E49" s="1806">
        <v>0</v>
      </c>
      <c r="F49" s="1806">
        <f t="shared" si="6"/>
        <v>12113224</v>
      </c>
      <c r="G49" s="1806">
        <v>-219526</v>
      </c>
      <c r="H49" s="1806">
        <f t="shared" si="3"/>
        <v>13613698</v>
      </c>
      <c r="I49" s="1806"/>
      <c r="J49" s="1806">
        <f>SUM('Step 5 Exec and Strategic'!B52:E52)+SUM('Step 5 Exec and Strategic'!O52:P52)</f>
        <v>1754400</v>
      </c>
      <c r="K49" s="404">
        <f>'Step 5 Exec and Strategic'!L52</f>
        <v>0</v>
      </c>
      <c r="L49" s="167">
        <f>SUM('Step 5 Exec and Strategic'!G52:J52)</f>
        <v>533190.58100000001</v>
      </c>
      <c r="M49" s="167">
        <f t="shared" si="4"/>
        <v>11360507.419</v>
      </c>
      <c r="N49" s="1808">
        <f t="shared" si="1"/>
        <v>13648098</v>
      </c>
      <c r="O49" s="399"/>
      <c r="P49" s="1277">
        <f t="shared" si="2"/>
        <v>34400</v>
      </c>
      <c r="Q49" s="1060">
        <f>W54</f>
        <v>0</v>
      </c>
      <c r="R49" s="172" t="s">
        <v>100</v>
      </c>
      <c r="S49" s="399"/>
      <c r="T49" s="399"/>
      <c r="U49" s="399">
        <v>183600</v>
      </c>
      <c r="V49" s="172" t="s">
        <v>1879</v>
      </c>
      <c r="W49" s="1858">
        <f>SUM(S49:U51)</f>
        <v>65600</v>
      </c>
    </row>
    <row r="50" spans="1:23" ht="14.1" customHeight="1">
      <c r="A50" s="359" t="s">
        <v>102</v>
      </c>
      <c r="B50" s="218">
        <v>25520328</v>
      </c>
      <c r="C50" s="406">
        <v>30615121</v>
      </c>
      <c r="D50" s="406">
        <v>2132070</v>
      </c>
      <c r="E50" s="406">
        <v>0</v>
      </c>
      <c r="F50" s="406">
        <f t="shared" si="6"/>
        <v>28483051</v>
      </c>
      <c r="G50" s="406">
        <f>-446309-85301</f>
        <v>-531610</v>
      </c>
      <c r="H50" s="406">
        <f t="shared" si="3"/>
        <v>30083511</v>
      </c>
      <c r="I50" s="406"/>
      <c r="J50" s="1821">
        <f>SUM('Step 5 Exec and Strategic'!B53:E53)+SUM('Step 5 Exec and Strategic'!O53:P53)</f>
        <v>2569280</v>
      </c>
      <c r="K50" s="234">
        <f>'Step 5 Exec and Strategic'!L53</f>
        <v>0</v>
      </c>
      <c r="L50" s="220">
        <f>SUM('Step 5 Exec and Strategic'!G53:J53)</f>
        <v>824021.80700000003</v>
      </c>
      <c r="M50" s="220">
        <f>SUM(F50:G50)-L50+Q50</f>
        <v>27749588.193</v>
      </c>
      <c r="N50" s="1810">
        <f>SUM(J50:M50)</f>
        <v>31142890</v>
      </c>
      <c r="O50" s="218"/>
      <c r="P50" s="1405">
        <f t="shared" si="2"/>
        <v>1059379</v>
      </c>
      <c r="Q50" s="1060">
        <f>W55</f>
        <v>622169</v>
      </c>
      <c r="R50" s="172"/>
      <c r="S50" s="399"/>
      <c r="T50" s="399"/>
      <c r="U50" s="399">
        <v>-118000</v>
      </c>
      <c r="V50" s="172" t="s">
        <v>1951</v>
      </c>
      <c r="W50" s="399"/>
    </row>
    <row r="51" spans="1:23" ht="14.1" customHeight="1">
      <c r="A51" s="172" t="s">
        <v>103</v>
      </c>
      <c r="B51" s="399">
        <v>17684064</v>
      </c>
      <c r="C51" s="404">
        <f>18990926+2435948+12473376</f>
        <v>33900250</v>
      </c>
      <c r="D51" s="1806">
        <f>4725042+860000+4367000</f>
        <v>9952042</v>
      </c>
      <c r="E51" s="1806">
        <v>239</v>
      </c>
      <c r="F51" s="1806">
        <f>C51-D51-E51</f>
        <v>23947969</v>
      </c>
      <c r="G51" s="1806">
        <v>-531574</v>
      </c>
      <c r="H51" s="1806">
        <f>SUM(D51:G51)</f>
        <v>33368676</v>
      </c>
      <c r="I51" s="1806"/>
      <c r="J51" s="1806">
        <f>SUM('Step 5 Exec and Strategic'!B54:E54)+SUM('Step 5 Exec and Strategic'!O54:P54)</f>
        <v>4824600</v>
      </c>
      <c r="K51" s="404">
        <f>'Step 5 Exec and Strategic'!L54</f>
        <v>435.06190005183799</v>
      </c>
      <c r="L51" s="167">
        <f>SUM('Step 5 Exec and Strategic'!G54:J54)</f>
        <v>0</v>
      </c>
      <c r="M51" s="167">
        <f>SUM(F51:G51)-L51+Q51</f>
        <v>23739395</v>
      </c>
      <c r="N51" s="1808">
        <f t="shared" si="1"/>
        <v>28564430.061900053</v>
      </c>
      <c r="O51" s="399"/>
      <c r="P51" s="1277">
        <f t="shared" si="2"/>
        <v>-4804245.9380999468</v>
      </c>
      <c r="Q51" s="1060">
        <f>W64</f>
        <v>323000</v>
      </c>
      <c r="R51" s="172"/>
      <c r="S51" s="399"/>
      <c r="T51" s="399"/>
      <c r="U51" s="399"/>
      <c r="V51" s="1512"/>
      <c r="W51" s="399"/>
    </row>
    <row r="52" spans="1:23" ht="14.1" customHeight="1">
      <c r="A52" s="172" t="s">
        <v>450</v>
      </c>
      <c r="B52" s="1060">
        <v>3700133</v>
      </c>
      <c r="C52" s="404"/>
      <c r="D52" s="404"/>
      <c r="E52" s="1806"/>
      <c r="F52" s="1806"/>
      <c r="G52" s="1806"/>
      <c r="H52" s="1806"/>
      <c r="I52" s="1806"/>
      <c r="J52" s="1806"/>
      <c r="K52" s="1060"/>
      <c r="L52" s="1060"/>
      <c r="M52" s="1060"/>
      <c r="N52" s="1809"/>
      <c r="O52" s="163"/>
      <c r="P52" s="1277">
        <f t="shared" ref="P52" si="7">SUM(L52:O52)</f>
        <v>0</v>
      </c>
      <c r="Q52" s="1060"/>
      <c r="R52" s="399"/>
      <c r="S52" s="399"/>
      <c r="T52" s="399"/>
      <c r="U52" s="399"/>
      <c r="V52" s="1512"/>
      <c r="W52" s="399"/>
    </row>
    <row r="53" spans="1:23" ht="14.1" customHeight="1">
      <c r="A53" s="377" t="s">
        <v>476</v>
      </c>
      <c r="B53" s="220">
        <v>2369903</v>
      </c>
      <c r="C53" s="234"/>
      <c r="D53" s="234"/>
      <c r="E53" s="406"/>
      <c r="F53" s="406">
        <f t="shared" ref="F53:F54" si="8">C53-D53-E53</f>
        <v>0</v>
      </c>
      <c r="G53" s="406"/>
      <c r="H53" s="406">
        <f t="shared" ref="H53:H54" si="9">SUM(D53:G53)</f>
        <v>0</v>
      </c>
      <c r="I53" s="406"/>
      <c r="J53" s="234">
        <f>SUM('Step 5 Exec and Strategic'!B56:E56)+SUM('Step 5 Exec and Strategic'!O56:P56)</f>
        <v>877200</v>
      </c>
      <c r="K53" s="220">
        <f>'Step 5 Exec and Strategic'!L56</f>
        <v>0</v>
      </c>
      <c r="L53" s="220">
        <f>SUM('Step 5 Exec and Strategic'!G56:J56)</f>
        <v>0</v>
      </c>
      <c r="M53" s="220">
        <f t="shared" ref="M53:M54" si="10">SUM(F53:G53)-L53+Q53</f>
        <v>0</v>
      </c>
      <c r="N53" s="1810">
        <f t="shared" ref="N53:N54" si="11">SUM(J53:M53)</f>
        <v>877200</v>
      </c>
      <c r="O53" s="406"/>
      <c r="P53" s="1405">
        <f t="shared" ref="P53:P54" si="12">N53-H53</f>
        <v>877200</v>
      </c>
      <c r="Q53" s="1060">
        <f>W75</f>
        <v>0</v>
      </c>
      <c r="R53" s="399"/>
      <c r="S53" s="399"/>
      <c r="T53" s="399"/>
      <c r="U53" s="172"/>
      <c r="V53" s="399"/>
      <c r="W53" s="1532"/>
    </row>
    <row r="54" spans="1:23" ht="14.1" customHeight="1">
      <c r="A54" s="172" t="s">
        <v>104</v>
      </c>
      <c r="B54" s="399">
        <v>12372914</v>
      </c>
      <c r="C54" s="404"/>
      <c r="D54" s="404"/>
      <c r="E54" s="1806"/>
      <c r="F54" s="1806">
        <f t="shared" si="8"/>
        <v>0</v>
      </c>
      <c r="G54" s="1806"/>
      <c r="H54" s="1806">
        <f t="shared" si="9"/>
        <v>0</v>
      </c>
      <c r="I54" s="1806"/>
      <c r="J54" s="404">
        <f>SUM('Step 5 Exec and Strategic'!B57:E57)+SUM('Step 5 Exec and Strategic'!O57:P57)</f>
        <v>4450820</v>
      </c>
      <c r="K54" s="404">
        <f>'Step 5 Exec and Strategic'!L57</f>
        <v>0</v>
      </c>
      <c r="L54" s="167">
        <f>SUM('Step 5 Exec and Strategic'!G57:J57)</f>
        <v>0</v>
      </c>
      <c r="M54" s="167">
        <f t="shared" si="10"/>
        <v>0</v>
      </c>
      <c r="N54" s="1808">
        <f t="shared" si="11"/>
        <v>4450820</v>
      </c>
      <c r="O54" s="216"/>
      <c r="P54" s="1277">
        <f t="shared" si="12"/>
        <v>4450820</v>
      </c>
      <c r="Q54" s="1060">
        <f>W76</f>
        <v>0</v>
      </c>
      <c r="R54" s="1411" t="s">
        <v>101</v>
      </c>
      <c r="S54" s="1408"/>
      <c r="T54" s="1408"/>
      <c r="U54" s="1408"/>
      <c r="V54" s="1411"/>
      <c r="W54" s="1408">
        <f>SUM(S54:U54)</f>
        <v>0</v>
      </c>
    </row>
    <row r="55" spans="1:23" ht="14.1" customHeight="1">
      <c r="A55" s="366" t="s">
        <v>105</v>
      </c>
      <c r="B55" s="365"/>
      <c r="C55" s="365"/>
      <c r="D55" s="365"/>
      <c r="E55" s="365"/>
      <c r="F55" s="365"/>
      <c r="G55" s="365"/>
      <c r="H55" s="365"/>
      <c r="I55" s="365"/>
      <c r="J55" s="365"/>
      <c r="K55" s="365"/>
      <c r="L55" s="365"/>
      <c r="M55" s="365"/>
      <c r="N55" s="365"/>
      <c r="O55" s="407"/>
      <c r="P55" s="408"/>
      <c r="Q55" s="1060"/>
      <c r="R55" s="1411" t="s">
        <v>102</v>
      </c>
      <c r="S55" s="1408"/>
      <c r="T55" s="1408"/>
      <c r="U55" s="1408"/>
      <c r="V55" s="1411"/>
      <c r="W55" s="1408">
        <f>SUM(S55:U63)</f>
        <v>622169</v>
      </c>
    </row>
    <row r="56" spans="1:23" ht="14.1" customHeight="1">
      <c r="A56" s="368" t="s">
        <v>106</v>
      </c>
      <c r="B56" s="225"/>
      <c r="C56" s="225"/>
      <c r="D56" s="225"/>
      <c r="E56" s="225"/>
      <c r="F56" s="225"/>
      <c r="G56" s="225"/>
      <c r="H56" s="225"/>
      <c r="I56" s="225"/>
      <c r="J56" s="225"/>
      <c r="K56" s="225"/>
      <c r="L56" s="225"/>
      <c r="M56" s="225"/>
      <c r="N56" s="225"/>
      <c r="O56" s="215"/>
      <c r="P56" s="215"/>
      <c r="R56" s="1411"/>
      <c r="S56" s="1408"/>
      <c r="T56" s="1408"/>
      <c r="U56" s="1408">
        <v>0</v>
      </c>
      <c r="V56" s="1411" t="s">
        <v>1828</v>
      </c>
      <c r="W56" s="1408"/>
    </row>
    <row r="57" spans="1:23" ht="14.1" customHeight="1">
      <c r="B57" s="179">
        <f>SUM(B25:B54)</f>
        <v>156975704</v>
      </c>
      <c r="C57" s="179">
        <f>SUM(C29:C54)</f>
        <v>169920954</v>
      </c>
      <c r="D57" s="179">
        <f>SUM(D29:D54)</f>
        <v>33538280</v>
      </c>
      <c r="E57" s="179">
        <f t="shared" ref="E57" si="13">SUM(E25:E54)</f>
        <v>2118585</v>
      </c>
      <c r="F57" s="179">
        <f>SUM(F29:F54)</f>
        <v>134290674</v>
      </c>
      <c r="G57" s="179">
        <f>SUM(G29:G54)</f>
        <v>-2577551</v>
      </c>
      <c r="H57" s="179">
        <f t="shared" ref="H57" si="14">SUM(H29:H54)</f>
        <v>167343403</v>
      </c>
      <c r="I57" s="179"/>
      <c r="J57" s="179">
        <f t="shared" ref="J57:P57" si="15">SUM(J25:J54)</f>
        <v>32670510.742000002</v>
      </c>
      <c r="K57" s="179">
        <f t="shared" si="15"/>
        <v>2024705.2757816743</v>
      </c>
      <c r="L57" s="179">
        <f>SUM(L25:L54)</f>
        <v>3586918.4539999999</v>
      </c>
      <c r="M57" s="179">
        <f>SUM(M25:M54)</f>
        <v>131360973.546</v>
      </c>
      <c r="N57" s="179">
        <f t="shared" si="15"/>
        <v>169643108.0177817</v>
      </c>
      <c r="O57" s="179">
        <f>SUM(O7:O54)</f>
        <v>-6821095.1100382209</v>
      </c>
      <c r="P57" s="179">
        <f t="shared" si="15"/>
        <v>2299705.0177816749</v>
      </c>
      <c r="R57" s="1411"/>
      <c r="S57" s="1408"/>
      <c r="T57" s="1408"/>
      <c r="U57" s="1408">
        <f>330000/2</f>
        <v>165000</v>
      </c>
      <c r="V57" s="1411" t="s">
        <v>1871</v>
      </c>
      <c r="W57" s="1408"/>
    </row>
    <row r="58" spans="1:23" ht="14.1" customHeight="1">
      <c r="B58" s="179"/>
      <c r="C58" s="179"/>
      <c r="D58" s="179"/>
      <c r="E58" s="179"/>
      <c r="F58" s="179"/>
      <c r="G58" s="179"/>
      <c r="H58" s="179"/>
      <c r="I58" s="179"/>
      <c r="J58" s="179"/>
      <c r="K58" s="1649"/>
      <c r="M58" s="179"/>
      <c r="N58" s="162"/>
      <c r="R58" s="1411"/>
      <c r="S58" s="1408"/>
      <c r="T58" s="1408"/>
      <c r="U58" s="1408">
        <v>270000</v>
      </c>
      <c r="V58" s="1411" t="s">
        <v>1872</v>
      </c>
      <c r="W58" s="1408"/>
    </row>
    <row r="59" spans="1:23" ht="14.1" customHeight="1" thickBot="1">
      <c r="C59" s="1811" t="s">
        <v>1792</v>
      </c>
      <c r="D59" s="1811"/>
      <c r="E59" s="1811"/>
      <c r="K59" s="1252"/>
      <c r="L59" s="1252"/>
      <c r="M59" s="1252"/>
      <c r="N59" s="1403"/>
      <c r="R59" s="1411"/>
      <c r="S59" s="1408"/>
      <c r="T59" s="1408"/>
      <c r="U59" s="1408">
        <v>97000</v>
      </c>
      <c r="V59" s="1411" t="s">
        <v>1873</v>
      </c>
      <c r="W59" s="1408"/>
    </row>
    <row r="60" spans="1:23" ht="26.1" customHeight="1">
      <c r="B60" s="179"/>
      <c r="C60" s="179"/>
      <c r="D60" s="179"/>
      <c r="E60" s="179"/>
      <c r="F60" s="179"/>
      <c r="G60" s="179"/>
      <c r="H60" s="179"/>
      <c r="I60" s="1812"/>
      <c r="J60" s="1827" t="s">
        <v>1787</v>
      </c>
      <c r="K60" s="1828" t="s">
        <v>1788</v>
      </c>
      <c r="L60" s="1829" t="s">
        <v>1687</v>
      </c>
      <c r="M60" s="1820"/>
      <c r="N60" s="1403"/>
      <c r="R60" s="1411"/>
      <c r="S60" s="1408"/>
      <c r="T60" s="1408"/>
      <c r="U60" s="1408">
        <f>136338/2</f>
        <v>68169</v>
      </c>
      <c r="V60" s="1411" t="s">
        <v>1874</v>
      </c>
      <c r="W60" s="1408"/>
    </row>
    <row r="61" spans="1:23" ht="14.1" customHeight="1">
      <c r="B61" s="179"/>
      <c r="C61" s="179" t="s">
        <v>1867</v>
      </c>
      <c r="D61" s="179"/>
      <c r="E61" s="179">
        <f>J42-D42</f>
        <v>-1167871</v>
      </c>
      <c r="F61" s="179"/>
      <c r="G61" s="179"/>
      <c r="H61" s="179"/>
      <c r="I61" s="1813" t="s">
        <v>1786</v>
      </c>
      <c r="J61" s="1814">
        <v>1837874</v>
      </c>
      <c r="K61" s="1814">
        <v>662307</v>
      </c>
      <c r="L61" s="1815">
        <f>K61-J61</f>
        <v>-1175567</v>
      </c>
      <c r="M61" s="1814"/>
      <c r="N61" s="1403"/>
      <c r="R61" s="1411"/>
      <c r="S61" s="1408"/>
      <c r="T61" s="1408"/>
      <c r="U61" s="1408">
        <v>22000</v>
      </c>
      <c r="V61" s="1411" t="s">
        <v>1899</v>
      </c>
      <c r="W61" s="1408"/>
    </row>
    <row r="62" spans="1:23" ht="14.1" customHeight="1">
      <c r="B62" s="179"/>
      <c r="C62" s="179" t="s">
        <v>1868</v>
      </c>
      <c r="D62" s="179"/>
      <c r="E62" s="179">
        <f>'Step 1 Dedicated Funds'!R51-2399000</f>
        <v>-952000</v>
      </c>
      <c r="F62" s="179"/>
      <c r="G62" s="179"/>
      <c r="H62" s="179"/>
      <c r="I62" s="1813" t="s">
        <v>58</v>
      </c>
      <c r="J62" s="1814">
        <v>8994</v>
      </c>
      <c r="K62" s="1814">
        <v>1382269</v>
      </c>
      <c r="L62" s="1815">
        <f t="shared" ref="L62:L64" si="16">K62-J62</f>
        <v>1373275</v>
      </c>
      <c r="M62" s="1814"/>
      <c r="N62" s="1404"/>
      <c r="R62" s="1411"/>
      <c r="S62" s="1408"/>
      <c r="T62" s="1408"/>
      <c r="U62" s="1408"/>
      <c r="V62" s="1411"/>
      <c r="W62" s="1408"/>
    </row>
    <row r="63" spans="1:23" ht="14.1" customHeight="1">
      <c r="B63" s="179"/>
      <c r="C63" s="179"/>
      <c r="D63" s="179"/>
      <c r="E63" s="179"/>
      <c r="F63" s="179"/>
      <c r="G63" s="179"/>
      <c r="H63" s="179"/>
      <c r="I63" s="1813" t="s">
        <v>1793</v>
      </c>
      <c r="J63" s="1816">
        <v>331301</v>
      </c>
      <c r="K63" s="381">
        <v>0</v>
      </c>
      <c r="L63" s="1815">
        <f t="shared" si="16"/>
        <v>-331301</v>
      </c>
      <c r="M63" s="1814"/>
      <c r="N63" s="162"/>
      <c r="R63" s="1411"/>
      <c r="S63" s="1408"/>
      <c r="T63" s="1408"/>
      <c r="U63" s="1408"/>
      <c r="V63" s="1515"/>
      <c r="W63" s="1408"/>
    </row>
    <row r="64" spans="1:23" ht="14.1" customHeight="1" thickBot="1">
      <c r="E64" s="163">
        <f>11358929-E48</f>
        <v>9976660</v>
      </c>
      <c r="I64" s="1817" t="s">
        <v>5</v>
      </c>
      <c r="J64" s="304"/>
      <c r="K64" s="1273">
        <v>133593</v>
      </c>
      <c r="L64" s="1818">
        <f t="shared" si="16"/>
        <v>133593</v>
      </c>
      <c r="M64" s="1814"/>
      <c r="R64" s="358" t="s">
        <v>1955</v>
      </c>
      <c r="S64" s="399"/>
      <c r="T64" s="399"/>
      <c r="U64" s="399">
        <v>184000</v>
      </c>
      <c r="V64" s="172" t="s">
        <v>1900</v>
      </c>
      <c r="W64" s="399">
        <f>SUM(S64:U73)</f>
        <v>323000</v>
      </c>
    </row>
    <row r="65" spans="9:23" ht="14.1" customHeight="1">
      <c r="J65" s="163">
        <f>SUM(J61:J64)</f>
        <v>2178169</v>
      </c>
      <c r="K65" s="163">
        <f>SUM(K61:K64)</f>
        <v>2178169</v>
      </c>
      <c r="R65" s="172"/>
      <c r="S65" s="399"/>
      <c r="T65" s="399"/>
      <c r="U65" s="399">
        <v>-427000</v>
      </c>
      <c r="V65" s="172" t="s">
        <v>1956</v>
      </c>
      <c r="W65" s="399"/>
    </row>
    <row r="66" spans="9:23">
      <c r="J66" s="161" t="s">
        <v>1795</v>
      </c>
      <c r="K66" s="161" t="s">
        <v>1788</v>
      </c>
      <c r="L66" s="161" t="s">
        <v>1687</v>
      </c>
      <c r="R66" s="172"/>
      <c r="S66" s="399"/>
      <c r="T66" s="399"/>
      <c r="U66" s="399">
        <v>22000</v>
      </c>
      <c r="V66" s="172" t="s">
        <v>1284</v>
      </c>
      <c r="W66" s="399"/>
    </row>
    <row r="67" spans="9:23">
      <c r="I67" s="161" t="s">
        <v>1794</v>
      </c>
      <c r="J67" s="161">
        <v>1662127</v>
      </c>
      <c r="K67" s="161">
        <v>0</v>
      </c>
      <c r="L67" s="161">
        <f>-1662127</f>
        <v>-1662127</v>
      </c>
      <c r="R67" s="172"/>
      <c r="S67" s="399"/>
      <c r="T67" s="399"/>
      <c r="U67" s="1894">
        <v>5500</v>
      </c>
      <c r="V67" s="161" t="s">
        <v>1957</v>
      </c>
      <c r="W67" s="399"/>
    </row>
    <row r="68" spans="9:23">
      <c r="Q68" s="172"/>
      <c r="R68" s="172"/>
      <c r="S68" s="399"/>
      <c r="T68" s="399"/>
      <c r="U68" s="399">
        <v>219700</v>
      </c>
      <c r="V68" s="172" t="s">
        <v>1958</v>
      </c>
      <c r="W68" s="399"/>
    </row>
    <row r="69" spans="9:23">
      <c r="R69" s="172"/>
      <c r="S69" s="399"/>
      <c r="T69" s="399"/>
      <c r="U69" s="1060">
        <v>105600</v>
      </c>
      <c r="V69" s="172" t="s">
        <v>1959</v>
      </c>
      <c r="W69" s="399"/>
    </row>
    <row r="70" spans="9:23">
      <c r="R70" s="172"/>
      <c r="S70" s="399"/>
      <c r="T70" s="399"/>
      <c r="U70" s="1060">
        <v>121300</v>
      </c>
      <c r="V70" s="172" t="s">
        <v>1960</v>
      </c>
      <c r="W70" s="399"/>
    </row>
    <row r="71" spans="9:23">
      <c r="R71" s="172"/>
      <c r="S71" s="399"/>
      <c r="T71" s="399"/>
      <c r="U71" s="1060">
        <v>115700</v>
      </c>
      <c r="V71" s="172" t="s">
        <v>1961</v>
      </c>
      <c r="W71" s="399"/>
    </row>
    <row r="72" spans="9:23">
      <c r="R72" s="172"/>
      <c r="S72" s="399"/>
      <c r="T72" s="399"/>
      <c r="U72" s="1060">
        <v>5000</v>
      </c>
      <c r="V72" s="172" t="s">
        <v>1962</v>
      </c>
      <c r="W72" s="399"/>
    </row>
    <row r="73" spans="9:23">
      <c r="R73" s="172"/>
      <c r="S73" s="399"/>
      <c r="T73" s="399"/>
      <c r="U73" s="1060">
        <v>-28800</v>
      </c>
      <c r="V73" s="172" t="s">
        <v>1963</v>
      </c>
      <c r="W73" s="399"/>
    </row>
    <row r="74" spans="9:23">
      <c r="R74" s="1512" t="s">
        <v>450</v>
      </c>
      <c r="S74" s="1060"/>
      <c r="T74" s="1060"/>
      <c r="U74" s="1060"/>
      <c r="V74" s="172"/>
      <c r="W74" s="1859">
        <f>SUM(S74:U74)</f>
        <v>0</v>
      </c>
    </row>
    <row r="75" spans="9:23">
      <c r="R75" s="377" t="s">
        <v>476</v>
      </c>
      <c r="S75" s="220"/>
      <c r="T75" s="220"/>
      <c r="U75" s="220"/>
      <c r="V75" s="377"/>
      <c r="W75" s="399">
        <f>SUM(S75:U75)</f>
        <v>0</v>
      </c>
    </row>
    <row r="76" spans="9:23">
      <c r="R76" s="172" t="s">
        <v>104</v>
      </c>
      <c r="S76" s="399"/>
      <c r="T76" s="399"/>
      <c r="U76" s="399"/>
      <c r="V76" s="172"/>
      <c r="W76" s="399">
        <f>SUM(S76:U76)</f>
        <v>0</v>
      </c>
    </row>
    <row r="77" spans="9:23">
      <c r="R77" s="365"/>
      <c r="S77" s="365"/>
      <c r="T77" s="365"/>
      <c r="U77" s="365"/>
      <c r="V77" s="365"/>
      <c r="W77" s="365"/>
    </row>
    <row r="78" spans="9:23">
      <c r="S78" s="225"/>
      <c r="T78" s="225"/>
      <c r="U78" s="225"/>
      <c r="W78" s="225"/>
    </row>
    <row r="79" spans="9:23">
      <c r="R79" s="1077" t="s">
        <v>1381</v>
      </c>
      <c r="S79" s="1413"/>
      <c r="T79" s="1413">
        <f>SUM(T8:T78)</f>
        <v>0</v>
      </c>
      <c r="U79" s="1413">
        <f>SUM(U8:U78)</f>
        <v>3249769</v>
      </c>
      <c r="V79" s="1077"/>
      <c r="W79" s="1413">
        <f>SUM(W8:W78)</f>
        <v>3234769</v>
      </c>
    </row>
    <row r="96" spans="19:23">
      <c r="S96" s="179"/>
      <c r="U96" s="179"/>
      <c r="V96" s="162"/>
      <c r="W96" s="1634"/>
    </row>
    <row r="97" spans="14:19">
      <c r="S97" s="162"/>
    </row>
    <row r="98" spans="14:19">
      <c r="S98" s="162"/>
    </row>
    <row r="99" spans="14:19">
      <c r="S99" s="162"/>
    </row>
    <row r="100" spans="14:19">
      <c r="S100" s="162"/>
    </row>
    <row r="101" spans="14:19">
      <c r="S101" s="162"/>
    </row>
    <row r="112" spans="14:19" ht="15">
      <c r="N112" s="159"/>
      <c r="O112" s="159"/>
      <c r="P112" s="159"/>
      <c r="Q112" s="159"/>
    </row>
    <row r="113" spans="12:18" ht="15">
      <c r="L113" s="159"/>
      <c r="M113" s="159"/>
      <c r="N113" s="159"/>
      <c r="O113" s="159"/>
      <c r="P113" s="159"/>
      <c r="Q113" s="159"/>
    </row>
    <row r="114" spans="12:18" ht="15">
      <c r="L114" s="159"/>
      <c r="M114" s="159"/>
      <c r="N114" s="159"/>
      <c r="O114" s="159"/>
      <c r="P114" s="159"/>
      <c r="Q114" s="159"/>
      <c r="R114" s="1255"/>
    </row>
    <row r="115" spans="12:18" ht="15">
      <c r="L115" s="159"/>
      <c r="M115" s="159"/>
      <c r="N115" s="159"/>
      <c r="O115" s="159"/>
      <c r="P115" s="159"/>
      <c r="Q115" s="159"/>
      <c r="R115" s="159"/>
    </row>
    <row r="116" spans="12:18" ht="15">
      <c r="L116" s="159"/>
      <c r="M116" s="159"/>
      <c r="R116" s="159"/>
    </row>
    <row r="117" spans="12:18" ht="15">
      <c r="R117" s="159"/>
    </row>
  </sheetData>
  <mergeCells count="1">
    <mergeCell ref="K4:M4"/>
  </mergeCells>
  <phoneticPr fontId="52" type="noConversion"/>
  <pageMargins left="0.7" right="0.7" top="0.75" bottom="0.75" header="0.3" footer="0.3"/>
  <pageSetup scale="21" orientation="portrait" copies="3"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pageSetUpPr fitToPage="1"/>
  </sheetPr>
  <dimension ref="A1:X66"/>
  <sheetViews>
    <sheetView zoomScale="110" zoomScaleNormal="110" zoomScalePageLayoutView="110" workbookViewId="0">
      <pane xSplit="1" ySplit="5" topLeftCell="B39" activePane="bottomRight" state="frozen"/>
      <selection pane="topRight" activeCell="B1" sqref="B1"/>
      <selection pane="bottomLeft" activeCell="A6" sqref="A6"/>
      <selection pane="bottomRight" activeCell="L51" sqref="L51"/>
    </sheetView>
  </sheetViews>
  <sheetFormatPr defaultColWidth="11" defaultRowHeight="15.75"/>
  <cols>
    <col min="1" max="1" width="36.125" customWidth="1"/>
    <col min="2" max="2" width="11.125" customWidth="1"/>
    <col min="3" max="4" width="11.5" customWidth="1"/>
    <col min="5" max="5" width="15.625" customWidth="1"/>
    <col min="6" max="6" width="3.375" customWidth="1"/>
    <col min="7" max="10" width="11" customWidth="1"/>
    <col min="11" max="11" width="3.625" customWidth="1"/>
    <col min="12" max="12" width="16.125" customWidth="1"/>
    <col min="13" max="13" width="5.375" customWidth="1"/>
    <col min="14" max="14" width="6.625" customWidth="1"/>
    <col min="15" max="16" width="11" customWidth="1"/>
    <col min="17" max="17" width="3.125" customWidth="1"/>
    <col min="18" max="18" width="13.875" customWidth="1"/>
    <col min="19" max="19" width="3.875" customWidth="1"/>
    <col min="20" max="20" width="12.875" customWidth="1"/>
    <col min="21" max="21" width="13.625" bestFit="1" customWidth="1"/>
    <col min="22" max="23" width="11.625" bestFit="1" customWidth="1"/>
  </cols>
  <sheetData>
    <row r="1" spans="1:23" ht="16.5" thickBot="1">
      <c r="A1" s="169" t="s">
        <v>61</v>
      </c>
      <c r="B1" s="169"/>
      <c r="C1" s="169"/>
      <c r="D1" s="169"/>
      <c r="E1" s="169"/>
      <c r="F1" s="169"/>
      <c r="G1" s="169"/>
      <c r="H1" s="169"/>
      <c r="I1" s="1284" t="s">
        <v>698</v>
      </c>
      <c r="J1" s="390"/>
      <c r="K1" s="1285"/>
      <c r="L1" s="1286">
        <v>0.02</v>
      </c>
      <c r="M1" s="169"/>
      <c r="O1" s="169"/>
      <c r="P1" s="169"/>
      <c r="Q1" s="169"/>
      <c r="R1" s="169"/>
      <c r="S1" s="169"/>
      <c r="T1" s="169"/>
      <c r="U1" s="169"/>
      <c r="V1" s="169"/>
      <c r="W1" s="159"/>
    </row>
    <row r="2" spans="1:23" ht="16.5" thickBot="1">
      <c r="A2" s="169" t="s">
        <v>1616</v>
      </c>
      <c r="B2" s="169"/>
      <c r="C2" s="169"/>
      <c r="D2" s="169"/>
      <c r="E2" s="169"/>
      <c r="F2" s="169"/>
      <c r="G2" s="169"/>
      <c r="H2" s="169"/>
      <c r="I2" s="1287" t="s">
        <v>699</v>
      </c>
      <c r="J2" s="396"/>
      <c r="K2" s="1288"/>
      <c r="L2" s="1289">
        <v>3.5000000000000003E-2</v>
      </c>
      <c r="M2" s="169"/>
      <c r="N2" s="169"/>
      <c r="O2" s="169"/>
      <c r="P2" s="169"/>
      <c r="Q2" s="169"/>
      <c r="R2" s="196" t="s">
        <v>174</v>
      </c>
      <c r="S2" s="197"/>
      <c r="T2" s="201">
        <f>'Step 1 Dedicated Funds'!X2</f>
        <v>597416226.57626891</v>
      </c>
      <c r="U2" s="169"/>
      <c r="V2" s="169"/>
      <c r="W2" s="159"/>
    </row>
    <row r="3" spans="1:23" ht="16.5" thickBot="1">
      <c r="A3" s="169"/>
      <c r="B3" s="169"/>
      <c r="C3" s="169"/>
      <c r="D3" s="169"/>
      <c r="E3" s="169"/>
      <c r="F3" s="169"/>
      <c r="G3" s="169"/>
      <c r="H3" s="169"/>
      <c r="I3" s="169"/>
      <c r="J3" s="169"/>
      <c r="K3" s="169"/>
      <c r="L3" s="169"/>
      <c r="M3" s="169"/>
      <c r="N3" s="169"/>
      <c r="O3" s="169"/>
      <c r="P3" s="169"/>
      <c r="Q3" s="169"/>
      <c r="R3" s="198" t="s">
        <v>175</v>
      </c>
      <c r="S3" s="199"/>
      <c r="T3" s="200">
        <f>T2-R59</f>
        <v>0</v>
      </c>
      <c r="U3" s="169"/>
      <c r="V3" s="169"/>
      <c r="W3" s="159"/>
    </row>
    <row r="4" spans="1:23">
      <c r="A4" s="170"/>
      <c r="B4" s="1940" t="s">
        <v>165</v>
      </c>
      <c r="C4" s="1940"/>
      <c r="D4" s="1940"/>
      <c r="E4" s="1940"/>
      <c r="F4" s="190"/>
      <c r="G4" s="1941" t="s">
        <v>166</v>
      </c>
      <c r="H4" s="1941"/>
      <c r="I4" s="1941"/>
      <c r="J4" s="1941"/>
      <c r="K4" s="190"/>
      <c r="L4" s="1947" t="s">
        <v>629</v>
      </c>
      <c r="M4" s="1947"/>
      <c r="N4" s="170"/>
      <c r="O4" s="1942" t="s">
        <v>151</v>
      </c>
      <c r="P4" s="1942"/>
      <c r="Q4" s="170"/>
      <c r="R4" s="1823" t="s">
        <v>23</v>
      </c>
      <c r="S4" s="1823"/>
      <c r="T4" s="1823">
        <f>SUM(B6,B7,C8,G6,G7,G8,O7,P7,E10)</f>
        <v>3252629.4214871582</v>
      </c>
      <c r="U4" s="170"/>
      <c r="V4" s="170"/>
      <c r="W4" s="159"/>
    </row>
    <row r="5" spans="1:23" s="182" customFormat="1" ht="63.75">
      <c r="A5" s="180" t="s">
        <v>68</v>
      </c>
      <c r="B5" s="181" t="s">
        <v>172</v>
      </c>
      <c r="C5" s="181" t="s">
        <v>700</v>
      </c>
      <c r="D5" s="224" t="s">
        <v>635</v>
      </c>
      <c r="E5" s="224" t="s">
        <v>1346</v>
      </c>
      <c r="F5" s="181"/>
      <c r="G5" s="181" t="s">
        <v>156</v>
      </c>
      <c r="H5" s="181" t="s">
        <v>157</v>
      </c>
      <c r="I5" s="181" t="s">
        <v>158</v>
      </c>
      <c r="J5" s="181" t="s">
        <v>159</v>
      </c>
      <c r="K5" s="181"/>
      <c r="L5" s="638"/>
      <c r="M5" s="638"/>
      <c r="N5" s="224"/>
      <c r="O5" s="224" t="s">
        <v>164</v>
      </c>
      <c r="P5" s="224" t="s">
        <v>168</v>
      </c>
      <c r="R5" s="224" t="s">
        <v>1610</v>
      </c>
      <c r="S5" s="1076"/>
      <c r="T5" s="224" t="s">
        <v>1806</v>
      </c>
      <c r="W5" s="183"/>
    </row>
    <row r="6" spans="1:23">
      <c r="A6" s="171" t="s">
        <v>470</v>
      </c>
      <c r="B6" s="1615">
        <f>'Step 5 Exec and Strategic'!B6</f>
        <v>3288473.2881894102</v>
      </c>
      <c r="C6" s="40">
        <f>'Step 5 Exec and Strategic'!C6</f>
        <v>0</v>
      </c>
      <c r="D6" s="40">
        <f>'Step 5 Exec and Strategic'!D6</f>
        <v>0</v>
      </c>
      <c r="E6" s="40">
        <f>'Step 5 Exec and Strategic'!E6</f>
        <v>0</v>
      </c>
      <c r="F6" s="40"/>
      <c r="G6" s="1615">
        <f>-B6</f>
        <v>-3288473.2881894102</v>
      </c>
      <c r="H6" s="40">
        <f>'Step 5 Exec and Strategic'!H6</f>
        <v>0</v>
      </c>
      <c r="I6" s="40">
        <f>'Step 5 Exec and Strategic'!I6</f>
        <v>0</v>
      </c>
      <c r="J6" s="40">
        <f>'Step 5 Exec and Strategic'!J6</f>
        <v>0</v>
      </c>
      <c r="K6" s="40"/>
      <c r="L6" s="40">
        <f>'Step 4 Contract and Reserves'!L6</f>
        <v>0</v>
      </c>
      <c r="M6" s="40"/>
      <c r="N6" s="44"/>
      <c r="O6" s="40">
        <f>'Step 4 Contract and Reserves'!O6</f>
        <v>0</v>
      </c>
      <c r="P6" s="40">
        <f>'Step 4 Contract and Reserves'!P6</f>
        <v>0</v>
      </c>
      <c r="R6" s="40">
        <f t="shared" ref="R6:R12" si="0">SUM(B6:P6)</f>
        <v>0</v>
      </c>
      <c r="S6" s="161"/>
      <c r="T6" s="40">
        <v>-626137</v>
      </c>
      <c r="W6" s="161"/>
    </row>
    <row r="7" spans="1:23">
      <c r="A7" s="171" t="s">
        <v>477</v>
      </c>
      <c r="B7" s="1615">
        <f>'Step 5 Exec and Strategic'!B7</f>
        <v>1904526.7118105898</v>
      </c>
      <c r="C7" s="40">
        <f>'Step 5 Exec and Strategic'!C7</f>
        <v>3222680</v>
      </c>
      <c r="D7" s="40">
        <f>'Step 5 Exec and Strategic'!D7</f>
        <v>0</v>
      </c>
      <c r="E7" s="40">
        <f>'Step 5 Exec and Strategic'!E7</f>
        <v>0</v>
      </c>
      <c r="F7" s="40"/>
      <c r="G7" s="1615">
        <f>-B7</f>
        <v>-1904526.7118105898</v>
      </c>
      <c r="H7" s="40">
        <f>'Step 5 Exec and Strategic'!H7</f>
        <v>0</v>
      </c>
      <c r="I7" s="40">
        <f>'Step 5 Exec and Strategic'!I7</f>
        <v>0</v>
      </c>
      <c r="J7" s="40">
        <f>'Step 5 Exec and Strategic'!J7</f>
        <v>0</v>
      </c>
      <c r="K7" s="40"/>
      <c r="L7" s="40">
        <f>'Step 4 Contract and Reserves'!L7</f>
        <v>0</v>
      </c>
      <c r="M7" s="40"/>
      <c r="N7" s="44"/>
      <c r="O7" s="1615">
        <f>'Step 4 Contract and Reserves'!O7</f>
        <v>-270100</v>
      </c>
      <c r="P7" s="1615">
        <f>'Step 4 Contract and Reserves'!P7</f>
        <v>6843000</v>
      </c>
      <c r="R7" s="40">
        <f t="shared" si="0"/>
        <v>9795580</v>
      </c>
      <c r="S7" s="161"/>
      <c r="T7" s="40">
        <v>7259180</v>
      </c>
      <c r="W7" s="161"/>
    </row>
    <row r="8" spans="1:23">
      <c r="A8" s="171" t="s">
        <v>697</v>
      </c>
      <c r="B8" s="40">
        <f>'Step 5 Exec and Strategic'!B8</f>
        <v>0</v>
      </c>
      <c r="C8" s="1615">
        <f>'Step 5 Exec and Strategic'!C8</f>
        <v>-1785271.468474621</v>
      </c>
      <c r="D8" s="40">
        <f>'Step 5 Exec and Strategic'!D8</f>
        <v>0</v>
      </c>
      <c r="E8" s="40">
        <f>'Step 5 Exec and Strategic'!E8</f>
        <v>0</v>
      </c>
      <c r="F8" s="40"/>
      <c r="G8" s="1615">
        <f>'Step 6a Service-Support Detail'!H3-'Step 6 Service-Support'!G6-'Step 6 Service-Support'!G7</f>
        <v>-1628095.1100382209</v>
      </c>
      <c r="H8" s="40">
        <f>'Step 5 Exec and Strategic'!H8</f>
        <v>0</v>
      </c>
      <c r="I8" s="40">
        <f>'Step 5 Exec and Strategic'!I8</f>
        <v>0</v>
      </c>
      <c r="J8" s="40">
        <f>'Step 5 Exec and Strategic'!J8</f>
        <v>0</v>
      </c>
      <c r="K8" s="40"/>
      <c r="L8" s="40">
        <f>'Step 4 Contract and Reserves'!L8</f>
        <v>0</v>
      </c>
      <c r="M8" s="40"/>
      <c r="N8" s="44"/>
      <c r="O8" s="40">
        <f>'Step 4 Contract and Reserves'!O8</f>
        <v>0</v>
      </c>
      <c r="P8" s="40">
        <f>'Step 4 Contract and Reserves'!P8</f>
        <v>0</v>
      </c>
      <c r="R8" s="40">
        <f t="shared" si="0"/>
        <v>-3413366.5785128418</v>
      </c>
      <c r="S8" s="161"/>
      <c r="T8" s="40">
        <v>-10659942.763277592</v>
      </c>
      <c r="W8" s="161"/>
    </row>
    <row r="9" spans="1:23">
      <c r="A9" s="171" t="s">
        <v>714</v>
      </c>
      <c r="B9" s="40">
        <f>'Step 5 Exec and Strategic'!B9</f>
        <v>0</v>
      </c>
      <c r="C9" s="40">
        <f>'Step 5 Exec and Strategic'!C9</f>
        <v>0</v>
      </c>
      <c r="D9" s="40">
        <f>'Step 5 Exec and Strategic'!D9</f>
        <v>0</v>
      </c>
      <c r="E9" s="40">
        <f>'Step 5 Exec and Strategic'!E9</f>
        <v>0</v>
      </c>
      <c r="F9" s="40"/>
      <c r="G9" s="40">
        <f>'Step 5 Exec and Strategic'!G9</f>
        <v>0</v>
      </c>
      <c r="H9" s="40">
        <f>'Step 5 Exec and Strategic'!H9</f>
        <v>0</v>
      </c>
      <c r="I9" s="40">
        <f>'Step 5 Exec and Strategic'!I9</f>
        <v>0</v>
      </c>
      <c r="J9" s="40">
        <f>'Step 5 Exec and Strategic'!J9</f>
        <v>0</v>
      </c>
      <c r="K9" s="40"/>
      <c r="L9" s="40">
        <f>'Step 4 Contract and Reserves'!L9</f>
        <v>0</v>
      </c>
      <c r="M9" s="40"/>
      <c r="N9" s="44"/>
      <c r="O9" s="40">
        <f>'Step 4 Contract and Reserves'!O9</f>
        <v>0</v>
      </c>
      <c r="P9" s="40">
        <f>'Step 4 Contract and Reserves'!P9</f>
        <v>13000000</v>
      </c>
      <c r="R9" s="40">
        <f t="shared" si="0"/>
        <v>13000000</v>
      </c>
      <c r="S9" s="161"/>
      <c r="T9" s="40">
        <v>10000000</v>
      </c>
      <c r="W9" s="161"/>
    </row>
    <row r="10" spans="1:23">
      <c r="A10" s="171" t="s">
        <v>471</v>
      </c>
      <c r="B10" s="40">
        <f>'Step 5 Exec and Strategic'!B10</f>
        <v>17319704</v>
      </c>
      <c r="C10" s="40">
        <f>'Step 5 Exec and Strategic'!C10</f>
        <v>0</v>
      </c>
      <c r="D10" s="40">
        <f>'Step 5 Exec and Strategic'!D10</f>
        <v>0</v>
      </c>
      <c r="E10" s="1615">
        <f>'Step 5 Exec and Strategic'!E10</f>
        <v>93096</v>
      </c>
      <c r="F10" s="40"/>
      <c r="G10" s="40">
        <f>'Step 5 Exec and Strategic'!G10</f>
        <v>0</v>
      </c>
      <c r="H10" s="40">
        <f>'Step 5 Exec and Strategic'!H10</f>
        <v>0</v>
      </c>
      <c r="I10" s="40">
        <f>'Step 5 Exec and Strategic'!I10</f>
        <v>0</v>
      </c>
      <c r="J10" s="40">
        <f>'Step 5 Exec and Strategic'!J10</f>
        <v>0</v>
      </c>
      <c r="K10" s="40"/>
      <c r="L10" s="40">
        <f>'Step 4 Contract and Reserves'!L10</f>
        <v>0</v>
      </c>
      <c r="M10" s="40"/>
      <c r="N10" s="44"/>
      <c r="O10" s="40">
        <f>'Step 4 Contract and Reserves'!O10</f>
        <v>0</v>
      </c>
      <c r="P10" s="40">
        <f>'Step 4 Contract and Reserves'!P10</f>
        <v>2324298</v>
      </c>
      <c r="R10" s="40">
        <f t="shared" si="0"/>
        <v>19737098</v>
      </c>
      <c r="S10" s="161"/>
      <c r="T10" s="40">
        <v>18178922</v>
      </c>
      <c r="W10" s="161"/>
    </row>
    <row r="11" spans="1:23">
      <c r="A11" s="171" t="s">
        <v>472</v>
      </c>
      <c r="B11" s="40">
        <f>'Step 5 Exec and Strategic'!B11</f>
        <v>4500000</v>
      </c>
      <c r="C11" s="40">
        <f>'Step 5 Exec and Strategic'!C11</f>
        <v>0</v>
      </c>
      <c r="D11" s="40">
        <f>'Step 5 Exec and Strategic'!D11</f>
        <v>0</v>
      </c>
      <c r="E11" s="40">
        <f>'Step 5 Exec and Strategic'!E11</f>
        <v>0</v>
      </c>
      <c r="F11" s="40"/>
      <c r="G11" s="40">
        <f>'Step 5 Exec and Strategic'!G11</f>
        <v>0</v>
      </c>
      <c r="H11" s="40">
        <f>'Step 5 Exec and Strategic'!H11</f>
        <v>0</v>
      </c>
      <c r="I11" s="40">
        <f>'Step 5 Exec and Strategic'!I11</f>
        <v>0</v>
      </c>
      <c r="J11" s="40">
        <f>'Step 5 Exec and Strategic'!J11</f>
        <v>0</v>
      </c>
      <c r="K11" s="40"/>
      <c r="L11" s="40">
        <f>'Step 4 Contract and Reserves'!L11</f>
        <v>0</v>
      </c>
      <c r="M11" s="40"/>
      <c r="N11" s="44"/>
      <c r="O11" s="40">
        <f>'Step 4 Contract and Reserves'!O11</f>
        <v>0</v>
      </c>
      <c r="P11" s="40">
        <f>'Step 4 Contract and Reserves'!P11</f>
        <v>0</v>
      </c>
      <c r="R11" s="40">
        <f t="shared" si="0"/>
        <v>4500000</v>
      </c>
      <c r="S11" s="161"/>
      <c r="T11" s="40">
        <v>4150000</v>
      </c>
      <c r="W11" s="161"/>
    </row>
    <row r="12" spans="1:23">
      <c r="A12" s="171" t="s">
        <v>473</v>
      </c>
      <c r="B12" s="40">
        <f>'Step 5 Exec and Strategic'!B12</f>
        <v>21461646.77</v>
      </c>
      <c r="C12" s="40">
        <f>'Step 5 Exec and Strategic'!C12</f>
        <v>0</v>
      </c>
      <c r="D12" s="40">
        <f>'Step 5 Exec and Strategic'!D12</f>
        <v>0</v>
      </c>
      <c r="E12" s="40">
        <f>'Step 5 Exec and Strategic'!E12</f>
        <v>0</v>
      </c>
      <c r="F12" s="40"/>
      <c r="G12" s="40">
        <f>'Step 5 Exec and Strategic'!G12</f>
        <v>0</v>
      </c>
      <c r="H12" s="40">
        <f>'Step 5 Exec and Strategic'!H12</f>
        <v>0</v>
      </c>
      <c r="I12" s="40">
        <f>'Step 5 Exec and Strategic'!I12</f>
        <v>0</v>
      </c>
      <c r="J12" s="40">
        <f>'Step 5 Exec and Strategic'!J12</f>
        <v>0</v>
      </c>
      <c r="K12" s="40"/>
      <c r="L12" s="40">
        <f>'Step 4 Contract and Reserves'!L12</f>
        <v>0</v>
      </c>
      <c r="M12" s="40"/>
      <c r="N12" s="44"/>
      <c r="O12" s="40">
        <f>'Step 4 Contract and Reserves'!O12</f>
        <v>0</v>
      </c>
      <c r="P12" s="40">
        <f>'Step 4 Contract and Reserves'!P12</f>
        <v>3600000</v>
      </c>
      <c r="R12" s="40">
        <f t="shared" si="0"/>
        <v>25061646.77</v>
      </c>
      <c r="S12" s="161"/>
      <c r="T12" s="40">
        <v>26139223</v>
      </c>
      <c r="W12" s="161"/>
    </row>
    <row r="13" spans="1:23">
      <c r="A13" s="162"/>
      <c r="B13" s="44"/>
      <c r="C13" s="44"/>
      <c r="D13" s="44"/>
      <c r="E13" s="44"/>
      <c r="F13" s="44"/>
      <c r="G13" s="44"/>
      <c r="H13" s="44"/>
      <c r="I13" s="44"/>
      <c r="J13" s="44"/>
      <c r="K13" s="44"/>
      <c r="L13" s="44"/>
      <c r="M13" s="44"/>
      <c r="N13" s="44"/>
      <c r="O13" s="44"/>
      <c r="P13" s="44"/>
      <c r="R13" s="44"/>
      <c r="S13" s="162"/>
      <c r="T13" s="44"/>
      <c r="W13" s="161"/>
    </row>
    <row r="14" spans="1:23">
      <c r="A14" s="47" t="s">
        <v>71</v>
      </c>
      <c r="B14" s="33"/>
      <c r="C14" s="33"/>
      <c r="D14" s="33"/>
      <c r="E14" s="33"/>
      <c r="F14" s="33"/>
      <c r="G14" s="33"/>
      <c r="H14" s="33"/>
      <c r="I14" s="33"/>
      <c r="J14" s="33"/>
      <c r="K14" s="33"/>
      <c r="L14" s="33"/>
      <c r="M14" s="33"/>
      <c r="N14" s="45"/>
      <c r="O14" s="33"/>
      <c r="P14" s="33"/>
      <c r="R14" s="33"/>
      <c r="S14" s="161"/>
      <c r="T14" s="33"/>
      <c r="W14" s="161"/>
    </row>
    <row r="15" spans="1:23">
      <c r="A15" s="1280" t="s">
        <v>1316</v>
      </c>
      <c r="B15" s="50">
        <f>'Step 5 Exec and Strategic'!B15</f>
        <v>0</v>
      </c>
      <c r="C15" s="50">
        <f>'Step 5 Exec and Strategic'!C15</f>
        <v>0</v>
      </c>
      <c r="D15" s="50">
        <f>'Step 5 Exec and Strategic'!D15</f>
        <v>0</v>
      </c>
      <c r="E15" s="50">
        <f>'Step 5 Exec and Strategic'!E15</f>
        <v>0</v>
      </c>
      <c r="F15" s="50"/>
      <c r="G15" s="50">
        <f>'Step 3 Acad Product &amp; Pools'!G15</f>
        <v>0</v>
      </c>
      <c r="H15" s="50">
        <f>'Step 3 Acad Product &amp; Pools'!H15</f>
        <v>0</v>
      </c>
      <c r="I15" s="50">
        <f>'Step 3 Acad Product &amp; Pools'!I15</f>
        <v>0</v>
      </c>
      <c r="J15" s="50">
        <f>'Step 3 Acad Product &amp; Pools'!J15</f>
        <v>0</v>
      </c>
      <c r="K15" s="50"/>
      <c r="L15" s="50">
        <f>SUM('Step 3 Acad Product &amp; Pools'!L15:Q15)</f>
        <v>0</v>
      </c>
      <c r="M15" s="33"/>
      <c r="N15" s="45"/>
      <c r="O15" s="33"/>
      <c r="P15" s="33"/>
      <c r="R15" s="33"/>
      <c r="S15" s="161"/>
      <c r="T15" s="1824"/>
      <c r="W15" s="161"/>
    </row>
    <row r="16" spans="1:23">
      <c r="A16" s="173" t="s">
        <v>72</v>
      </c>
      <c r="B16" s="40">
        <f>'Step 5 Exec and Strategic'!B16</f>
        <v>0</v>
      </c>
      <c r="C16" s="40">
        <f>'Step 5 Exec and Strategic'!C16</f>
        <v>0</v>
      </c>
      <c r="D16" s="40">
        <f>'Step 5 Exec and Strategic'!D16</f>
        <v>0</v>
      </c>
      <c r="E16" s="40">
        <f>'Step 5 Exec and Strategic'!E16</f>
        <v>0</v>
      </c>
      <c r="F16" s="40"/>
      <c r="G16" s="40"/>
      <c r="H16" s="40"/>
      <c r="I16" s="40"/>
      <c r="J16" s="40"/>
      <c r="K16" s="40"/>
      <c r="L16" s="372">
        <f>'Step 4 Contract and Reserves'!L16</f>
        <v>21402274.354946967</v>
      </c>
      <c r="M16" s="372"/>
      <c r="N16" s="44"/>
      <c r="O16" s="372">
        <f>'Step 1 Dedicated Funds'!N16</f>
        <v>-114722.94</v>
      </c>
      <c r="P16" s="372">
        <f>SUM('Step 1 Dedicated Funds'!O16:T16)</f>
        <v>3450310</v>
      </c>
      <c r="R16" s="40">
        <f t="shared" ref="R16:R34" si="1">SUM(B16:P16)</f>
        <v>24737861.414946966</v>
      </c>
      <c r="S16" s="162"/>
      <c r="T16" s="40">
        <v>23993241</v>
      </c>
      <c r="U16" s="1452"/>
      <c r="W16" s="161"/>
    </row>
    <row r="17" spans="1:23">
      <c r="A17" s="49" t="s">
        <v>73</v>
      </c>
      <c r="B17" s="44">
        <f>'Step 5 Exec and Strategic'!B17</f>
        <v>0</v>
      </c>
      <c r="C17" s="44">
        <f>'Step 5 Exec and Strategic'!C17</f>
        <v>0</v>
      </c>
      <c r="D17" s="44">
        <f>'Step 5 Exec and Strategic'!D17</f>
        <v>0</v>
      </c>
      <c r="E17" s="44">
        <f>'Step 5 Exec and Strategic'!E17</f>
        <v>0</v>
      </c>
      <c r="F17" s="44"/>
      <c r="G17" s="44"/>
      <c r="H17" s="44"/>
      <c r="I17" s="44"/>
      <c r="J17" s="44"/>
      <c r="K17" s="44"/>
      <c r="L17" s="373">
        <f>'Step 4 Contract and Reserves'!L17</f>
        <v>20283312.929002929</v>
      </c>
      <c r="M17" s="373"/>
      <c r="N17" s="44"/>
      <c r="O17" s="373">
        <f>'Step 1 Dedicated Funds'!N17</f>
        <v>-40855.178</v>
      </c>
      <c r="P17" s="373">
        <f>SUM('Step 1 Dedicated Funds'!O17:T17)</f>
        <v>3083462.1521200002</v>
      </c>
      <c r="R17" s="44">
        <f t="shared" si="1"/>
        <v>23325919.903122932</v>
      </c>
      <c r="S17" s="162"/>
      <c r="T17" s="44">
        <v>21443844</v>
      </c>
      <c r="U17" s="1452"/>
      <c r="W17" s="161"/>
    </row>
    <row r="18" spans="1:23">
      <c r="A18" s="172" t="s">
        <v>74</v>
      </c>
      <c r="B18" s="44">
        <f>'Step 5 Exec and Strategic'!B18</f>
        <v>0</v>
      </c>
      <c r="C18" s="44">
        <f>'Step 5 Exec and Strategic'!C18</f>
        <v>0</v>
      </c>
      <c r="D18" s="44">
        <f>'Step 5 Exec and Strategic'!D18</f>
        <v>0</v>
      </c>
      <c r="E18" s="44">
        <f>'Step 5 Exec and Strategic'!E18</f>
        <v>0</v>
      </c>
      <c r="F18" s="44"/>
      <c r="G18" s="44"/>
      <c r="H18" s="44"/>
      <c r="I18" s="44"/>
      <c r="J18" s="44"/>
      <c r="K18" s="44"/>
      <c r="L18" s="373">
        <f>'Step 4 Contract and Reserves'!L18</f>
        <v>48192990.868868649</v>
      </c>
      <c r="M18" s="373"/>
      <c r="N18" s="44"/>
      <c r="O18" s="373">
        <f>'Step 1 Dedicated Funds'!N18</f>
        <v>-646197.82200000004</v>
      </c>
      <c r="P18" s="373">
        <f>SUM('Step 1 Dedicated Funds'!O18:T18)</f>
        <v>20864384.166999999</v>
      </c>
      <c r="R18" s="44">
        <f t="shared" si="1"/>
        <v>68411177.213868648</v>
      </c>
      <c r="S18" s="162"/>
      <c r="T18" s="44">
        <v>67030706</v>
      </c>
      <c r="U18" s="1452"/>
      <c r="W18" s="161"/>
    </row>
    <row r="19" spans="1:23">
      <c r="A19" s="173" t="s">
        <v>75</v>
      </c>
      <c r="B19" s="40">
        <f>'Step 5 Exec and Strategic'!B19</f>
        <v>0</v>
      </c>
      <c r="C19" s="40">
        <f>'Step 5 Exec and Strategic'!C19</f>
        <v>0</v>
      </c>
      <c r="D19" s="40">
        <f>'Step 5 Exec and Strategic'!D19</f>
        <v>0</v>
      </c>
      <c r="E19" s="40">
        <f>'Step 5 Exec and Strategic'!E19</f>
        <v>737700</v>
      </c>
      <c r="F19" s="40"/>
      <c r="G19" s="40"/>
      <c r="H19" s="40"/>
      <c r="I19" s="40"/>
      <c r="J19" s="40"/>
      <c r="K19" s="40"/>
      <c r="L19" s="372">
        <f>'Step 4 Contract and Reserves'!L19</f>
        <v>5566714.5894065304</v>
      </c>
      <c r="M19" s="372"/>
      <c r="N19" s="44"/>
      <c r="O19" s="372">
        <f>'Step 1 Dedicated Funds'!N19</f>
        <v>-190577.89799999999</v>
      </c>
      <c r="P19" s="372">
        <f>SUM('Step 1 Dedicated Funds'!O19:T19)</f>
        <v>3115689.2800000003</v>
      </c>
      <c r="R19" s="40">
        <f t="shared" si="1"/>
        <v>9229525.9714065306</v>
      </c>
      <c r="S19" s="162"/>
      <c r="T19" s="40">
        <v>9423979</v>
      </c>
      <c r="U19" s="1452"/>
      <c r="W19" s="161"/>
    </row>
    <row r="20" spans="1:23">
      <c r="A20" s="49" t="s">
        <v>76</v>
      </c>
      <c r="B20" s="44">
        <f>'Step 5 Exec and Strategic'!B20</f>
        <v>0</v>
      </c>
      <c r="C20" s="44">
        <f>'Step 5 Exec and Strategic'!C20</f>
        <v>850000</v>
      </c>
      <c r="D20" s="44">
        <f>'Step 5 Exec and Strategic'!D20</f>
        <v>0</v>
      </c>
      <c r="E20" s="44">
        <f>'Step 5 Exec and Strategic'!E20</f>
        <v>0</v>
      </c>
      <c r="F20" s="44"/>
      <c r="G20" s="44"/>
      <c r="H20" s="44"/>
      <c r="I20" s="44"/>
      <c r="J20" s="44"/>
      <c r="K20" s="44"/>
      <c r="L20" s="373">
        <f>'Step 4 Contract and Reserves'!L20</f>
        <v>16384842.476953281</v>
      </c>
      <c r="M20" s="373"/>
      <c r="N20" s="44"/>
      <c r="O20" s="373">
        <f>'Step 1 Dedicated Funds'!N20</f>
        <v>-102703.046</v>
      </c>
      <c r="P20" s="373">
        <f>SUM('Step 1 Dedicated Funds'!O20:T20)</f>
        <v>2532465.1984000001</v>
      </c>
      <c r="R20" s="44">
        <f t="shared" si="1"/>
        <v>19664604.629353285</v>
      </c>
      <c r="S20" s="162"/>
      <c r="T20" s="44">
        <v>20386034</v>
      </c>
      <c r="U20" s="1452"/>
      <c r="W20" s="161"/>
    </row>
    <row r="21" spans="1:23">
      <c r="A21" s="172" t="s">
        <v>77</v>
      </c>
      <c r="B21" s="44">
        <f>'Step 5 Exec and Strategic'!B21</f>
        <v>0</v>
      </c>
      <c r="C21" s="44">
        <f>'Step 5 Exec and Strategic'!C21</f>
        <v>0</v>
      </c>
      <c r="D21" s="44">
        <f>'Step 5 Exec and Strategic'!D21</f>
        <v>0</v>
      </c>
      <c r="E21" s="44">
        <f>'Step 5 Exec and Strategic'!E21</f>
        <v>245900</v>
      </c>
      <c r="F21" s="44"/>
      <c r="G21" s="44"/>
      <c r="H21" s="44"/>
      <c r="I21" s="44"/>
      <c r="J21" s="44"/>
      <c r="K21" s="44"/>
      <c r="L21" s="373">
        <f>'Step 4 Contract and Reserves'!L21</f>
        <v>5203260.0972967809</v>
      </c>
      <c r="M21" s="373"/>
      <c r="N21" s="44"/>
      <c r="O21" s="373">
        <f>'Step 1 Dedicated Funds'!N21</f>
        <v>-7400</v>
      </c>
      <c r="P21" s="373">
        <f>SUM('Step 1 Dedicated Funds'!O21:T21)</f>
        <v>120000</v>
      </c>
      <c r="R21" s="44">
        <f t="shared" si="1"/>
        <v>5561760.0972967809</v>
      </c>
      <c r="S21" s="162"/>
      <c r="T21" s="44">
        <v>5442006</v>
      </c>
      <c r="U21" s="1452"/>
      <c r="W21" s="161"/>
    </row>
    <row r="22" spans="1:23">
      <c r="A22" s="173" t="s">
        <v>78</v>
      </c>
      <c r="B22" s="40">
        <f>'Step 5 Exec and Strategic'!B22</f>
        <v>0</v>
      </c>
      <c r="C22" s="40">
        <f>'Step 5 Exec and Strategic'!C22</f>
        <v>0</v>
      </c>
      <c r="D22" s="40">
        <f>'Step 5 Exec and Strategic'!D22</f>
        <v>0</v>
      </c>
      <c r="E22" s="40">
        <f>'Step 5 Exec and Strategic'!E22</f>
        <v>0</v>
      </c>
      <c r="F22" s="40"/>
      <c r="G22" s="40"/>
      <c r="H22" s="40"/>
      <c r="I22" s="40"/>
      <c r="J22" s="40"/>
      <c r="K22" s="40"/>
      <c r="L22" s="372">
        <f>'Step 4 Contract and Reserves'!L22</f>
        <v>43078927.073671438</v>
      </c>
      <c r="M22" s="372"/>
      <c r="N22" s="44"/>
      <c r="O22" s="372">
        <f>'Step 1 Dedicated Funds'!N22</f>
        <v>-128220.466</v>
      </c>
      <c r="P22" s="372">
        <f>SUM('Step 1 Dedicated Funds'!O22:T22)</f>
        <v>1812709</v>
      </c>
      <c r="R22" s="40">
        <f t="shared" si="1"/>
        <v>44763415.60767144</v>
      </c>
      <c r="S22" s="162"/>
      <c r="T22" s="40">
        <v>44094814</v>
      </c>
      <c r="U22" s="1452"/>
      <c r="W22" s="161"/>
    </row>
    <row r="23" spans="1:23">
      <c r="A23" s="172" t="s">
        <v>79</v>
      </c>
      <c r="B23" s="44">
        <f>'Step 5 Exec and Strategic'!B23</f>
        <v>0</v>
      </c>
      <c r="C23" s="44">
        <f>'Step 5 Exec and Strategic'!C23</f>
        <v>10875</v>
      </c>
      <c r="D23" s="44">
        <f>'Step 5 Exec and Strategic'!D23</f>
        <v>0</v>
      </c>
      <c r="E23" s="44">
        <f>'Step 5 Exec and Strategic'!E23</f>
        <v>2557360</v>
      </c>
      <c r="F23" s="44"/>
      <c r="G23" s="44"/>
      <c r="H23" s="44"/>
      <c r="I23" s="44"/>
      <c r="J23" s="44"/>
      <c r="K23" s="44"/>
      <c r="L23" s="373">
        <f>'Step 4 Contract and Reserves'!L23</f>
        <v>8417663.6895338055</v>
      </c>
      <c r="M23" s="373"/>
      <c r="N23" s="44"/>
      <c r="O23" s="373">
        <f>'Step 1 Dedicated Funds'!N23</f>
        <v>41103.077999999994</v>
      </c>
      <c r="P23" s="373">
        <f>SUM('Step 1 Dedicated Funds'!O23:T23)</f>
        <v>6444553</v>
      </c>
      <c r="R23" s="44">
        <f t="shared" si="1"/>
        <v>17471554.767533805</v>
      </c>
      <c r="S23" s="162"/>
      <c r="T23" s="44">
        <v>18750980</v>
      </c>
      <c r="U23" s="1452"/>
      <c r="W23" s="161"/>
    </row>
    <row r="24" spans="1:23">
      <c r="A24" s="172" t="s">
        <v>80</v>
      </c>
      <c r="B24" s="50">
        <f>'Step 5 Exec and Strategic'!B24</f>
        <v>0</v>
      </c>
      <c r="C24" s="50">
        <f>'Step 5 Exec and Strategic'!C24</f>
        <v>0</v>
      </c>
      <c r="D24" s="50">
        <f>'Step 5 Exec and Strategic'!D24</f>
        <v>0</v>
      </c>
      <c r="E24" s="50">
        <f>'Step 5 Exec and Strategic'!E24</f>
        <v>2881948</v>
      </c>
      <c r="F24" s="50"/>
      <c r="G24" s="50"/>
      <c r="H24" s="50"/>
      <c r="I24" s="50"/>
      <c r="J24" s="50"/>
      <c r="K24" s="50"/>
      <c r="L24" s="374">
        <f>'Step 4 Contract and Reserves'!L24</f>
        <v>3942909.4588813232</v>
      </c>
      <c r="M24" s="374"/>
      <c r="N24" s="50"/>
      <c r="O24" s="374">
        <f>'Step 1 Dedicated Funds'!N24</f>
        <v>-113642.39199999999</v>
      </c>
      <c r="P24" s="374">
        <f>SUM('Step 1 Dedicated Funds'!O24:T24)</f>
        <v>5926242.0006117597</v>
      </c>
      <c r="R24" s="50">
        <f t="shared" si="1"/>
        <v>12637457.067493083</v>
      </c>
      <c r="S24" s="162"/>
      <c r="T24" s="50">
        <v>12570093</v>
      </c>
      <c r="U24" s="1452"/>
      <c r="W24" s="161"/>
    </row>
    <row r="25" spans="1:23">
      <c r="A25" s="173" t="s">
        <v>81</v>
      </c>
      <c r="B25" s="40">
        <f>'Step 5 Exec and Strategic'!B25</f>
        <v>0</v>
      </c>
      <c r="C25" s="40">
        <f>'Step 5 Exec and Strategic'!C25</f>
        <v>750000</v>
      </c>
      <c r="D25" s="40">
        <f>'Step 5 Exec and Strategic'!D25</f>
        <v>0</v>
      </c>
      <c r="E25" s="40">
        <f>'Step 5 Exec and Strategic'!E25</f>
        <v>0</v>
      </c>
      <c r="F25" s="40"/>
      <c r="G25" s="40"/>
      <c r="H25" s="40"/>
      <c r="I25" s="40"/>
      <c r="J25" s="40"/>
      <c r="K25" s="40"/>
      <c r="L25" s="372">
        <f>'Step 4 Contract and Reserves'!L25</f>
        <v>40370323.774424858</v>
      </c>
      <c r="M25" s="372"/>
      <c r="N25" s="44"/>
      <c r="O25" s="372">
        <f>'Step 1 Dedicated Funds'!N25</f>
        <v>-118488.57799999999</v>
      </c>
      <c r="P25" s="372">
        <f>SUM('Step 1 Dedicated Funds'!O25:T25)</f>
        <v>2401197</v>
      </c>
      <c r="R25" s="40">
        <f t="shared" si="1"/>
        <v>43403032.196424857</v>
      </c>
      <c r="S25" s="162"/>
      <c r="T25" s="40">
        <v>43664480</v>
      </c>
      <c r="U25" s="1452"/>
      <c r="W25" s="161"/>
    </row>
    <row r="26" spans="1:23">
      <c r="A26" s="172" t="s">
        <v>82</v>
      </c>
      <c r="B26" s="50">
        <f>'Step 5 Exec and Strategic'!B26</f>
        <v>0</v>
      </c>
      <c r="C26" s="50">
        <f>'Step 5 Exec and Strategic'!C26</f>
        <v>199991</v>
      </c>
      <c r="D26" s="50">
        <f>'Step 5 Exec and Strategic'!D26</f>
        <v>0</v>
      </c>
      <c r="E26" s="50">
        <f>'Step 5 Exec and Strategic'!E26</f>
        <v>7091756</v>
      </c>
      <c r="F26" s="50"/>
      <c r="G26" s="50"/>
      <c r="H26" s="50"/>
      <c r="I26" s="50"/>
      <c r="J26" s="50"/>
      <c r="K26" s="50"/>
      <c r="L26" s="374">
        <f>'Step 4 Contract and Reserves'!L26</f>
        <v>2871875.9978878237</v>
      </c>
      <c r="M26" s="374"/>
      <c r="N26" s="50"/>
      <c r="O26" s="374">
        <f>'Step 1 Dedicated Funds'!N26</f>
        <v>-1077566.7620000001</v>
      </c>
      <c r="P26" s="374">
        <f>SUM('Step 1 Dedicated Funds'!O26:T26)</f>
        <v>18351078.989631999</v>
      </c>
      <c r="R26" s="50">
        <f t="shared" si="1"/>
        <v>27437135.225519821</v>
      </c>
      <c r="S26" s="162"/>
      <c r="T26" s="50">
        <v>26260862</v>
      </c>
      <c r="U26" s="1452"/>
      <c r="W26" s="161"/>
    </row>
    <row r="27" spans="1:23">
      <c r="A27" s="172" t="s">
        <v>83</v>
      </c>
      <c r="B27" s="44">
        <f>'Step 5 Exec and Strategic'!B27</f>
        <v>0</v>
      </c>
      <c r="C27" s="44">
        <f>'Step 5 Exec and Strategic'!C27</f>
        <v>0</v>
      </c>
      <c r="D27" s="44">
        <f>'Step 5 Exec and Strategic'!D27</f>
        <v>0</v>
      </c>
      <c r="E27" s="44">
        <f>'Step 5 Exec and Strategic'!E27</f>
        <v>0</v>
      </c>
      <c r="F27" s="44"/>
      <c r="G27" s="44">
        <f>'Step 6a Service-Support Detail'!K25</f>
        <v>0</v>
      </c>
      <c r="H27" s="44"/>
      <c r="I27" s="44"/>
      <c r="J27" s="44"/>
      <c r="K27" s="44"/>
      <c r="L27" s="373">
        <f>'Step 4 Contract and Reserves'!L27</f>
        <v>0</v>
      </c>
      <c r="M27" s="373"/>
      <c r="N27" s="44"/>
      <c r="O27" s="373">
        <f>'Step 1 Dedicated Funds'!N27</f>
        <v>0</v>
      </c>
      <c r="P27" s="373">
        <f>SUM('Step 1 Dedicated Funds'!O27:T27)</f>
        <v>0</v>
      </c>
      <c r="R27" s="44">
        <f t="shared" si="1"/>
        <v>0</v>
      </c>
      <c r="S27" s="162"/>
      <c r="T27" s="44">
        <v>0</v>
      </c>
      <c r="U27" s="1452"/>
      <c r="W27" s="161"/>
    </row>
    <row r="28" spans="1:23">
      <c r="A28" s="173" t="s">
        <v>84</v>
      </c>
      <c r="B28" s="40">
        <f>'Step 5 Exec and Strategic'!B28</f>
        <v>0</v>
      </c>
      <c r="C28" s="40">
        <f>'Step 5 Exec and Strategic'!C28</f>
        <v>0</v>
      </c>
      <c r="D28" s="40">
        <f>'Step 5 Exec and Strategic'!D28</f>
        <v>0</v>
      </c>
      <c r="E28" s="40">
        <f>'Step 5 Exec and Strategic'!E28</f>
        <v>230000</v>
      </c>
      <c r="F28" s="40"/>
      <c r="G28" s="40"/>
      <c r="H28" s="40"/>
      <c r="I28" s="40"/>
      <c r="J28" s="40"/>
      <c r="K28" s="40"/>
      <c r="L28" s="372">
        <f>'Step 4 Contract and Reserves'!L28</f>
        <v>841966.8793919452</v>
      </c>
      <c r="M28" s="372"/>
      <c r="N28" s="44"/>
      <c r="O28" s="372">
        <f>'Step 1 Dedicated Funds'!N28</f>
        <v>-22200</v>
      </c>
      <c r="P28" s="372">
        <f>SUM('Step 1 Dedicated Funds'!O28:T28)</f>
        <v>2010259.38</v>
      </c>
      <c r="R28" s="40">
        <f t="shared" si="1"/>
        <v>3060026.2593919449</v>
      </c>
      <c r="S28" s="162"/>
      <c r="T28" s="40">
        <v>2999580</v>
      </c>
      <c r="U28" s="1452"/>
      <c r="W28" s="161"/>
    </row>
    <row r="29" spans="1:23">
      <c r="A29" s="49" t="s">
        <v>86</v>
      </c>
      <c r="B29" s="50">
        <f>'Step 5 Exec and Strategic'!B29</f>
        <v>0</v>
      </c>
      <c r="C29" s="50">
        <f>'Step 5 Exec and Strategic'!C29</f>
        <v>0</v>
      </c>
      <c r="D29" s="50">
        <f>'Step 5 Exec and Strategic'!D29</f>
        <v>0</v>
      </c>
      <c r="E29" s="50">
        <f>'Step 5 Exec and Strategic'!E29</f>
        <v>0</v>
      </c>
      <c r="F29" s="50"/>
      <c r="G29" s="44">
        <f>'Step 6a Service-Support Detail'!K27</f>
        <v>0</v>
      </c>
      <c r="H29" s="50"/>
      <c r="I29" s="50"/>
      <c r="J29" s="50"/>
      <c r="K29" s="50"/>
      <c r="L29" s="50">
        <f>'Step 4 Contract and Reserves'!L29</f>
        <v>0</v>
      </c>
      <c r="M29" s="50"/>
      <c r="N29" s="50"/>
      <c r="O29" s="50">
        <f>'Step 1 Dedicated Funds'!N29</f>
        <v>0</v>
      </c>
      <c r="P29" s="50">
        <f>SUM('Step 1 Dedicated Funds'!O29:T29)</f>
        <v>21222276</v>
      </c>
      <c r="R29" s="50">
        <f t="shared" si="1"/>
        <v>21222276</v>
      </c>
      <c r="S29" s="162"/>
      <c r="T29" s="50">
        <v>19821377</v>
      </c>
      <c r="U29" s="1452"/>
      <c r="W29" s="161"/>
    </row>
    <row r="30" spans="1:23">
      <c r="A30" s="172" t="s">
        <v>87</v>
      </c>
      <c r="B30" s="44">
        <f>'Step 5 Exec and Strategic'!B30</f>
        <v>0</v>
      </c>
      <c r="C30" s="44">
        <f>'Step 5 Exec and Strategic'!C30</f>
        <v>0</v>
      </c>
      <c r="D30" s="44">
        <f>'Step 5 Exec and Strategic'!D30</f>
        <v>0</v>
      </c>
      <c r="E30" s="44">
        <f>'Step 5 Exec and Strategic'!E30</f>
        <v>0</v>
      </c>
      <c r="F30" s="44"/>
      <c r="G30" s="44"/>
      <c r="H30" s="44"/>
      <c r="I30" s="44"/>
      <c r="J30" s="44"/>
      <c r="K30" s="44"/>
      <c r="L30" s="44">
        <f>'Step 4 Contract and Reserves'!L30</f>
        <v>0</v>
      </c>
      <c r="M30" s="44"/>
      <c r="N30" s="44"/>
      <c r="O30" s="44">
        <f>'Step 1 Dedicated Funds'!N30</f>
        <v>0</v>
      </c>
      <c r="P30" s="44">
        <f>SUM('Step 1 Dedicated Funds'!O30:T30)</f>
        <v>5263200</v>
      </c>
      <c r="Q30" s="42"/>
      <c r="R30" s="44">
        <f t="shared" si="1"/>
        <v>5263200</v>
      </c>
      <c r="S30" s="162"/>
      <c r="T30" s="44">
        <v>3440000</v>
      </c>
      <c r="U30" s="1452"/>
      <c r="W30" s="161"/>
    </row>
    <row r="31" spans="1:23">
      <c r="A31" s="359" t="s">
        <v>452</v>
      </c>
      <c r="B31" s="221">
        <f>'Step 5 Exec and Strategic'!B31</f>
        <v>0</v>
      </c>
      <c r="C31" s="221">
        <f>'Step 5 Exec and Strategic'!C31</f>
        <v>0</v>
      </c>
      <c r="D31" s="221">
        <f>'Step 5 Exec and Strategic'!D31</f>
        <v>0</v>
      </c>
      <c r="E31" s="221">
        <f>'Step 5 Exec and Strategic'!E31</f>
        <v>0</v>
      </c>
      <c r="F31" s="221"/>
      <c r="G31" s="221">
        <f>'Step 6a Service-Support Detail'!M29</f>
        <v>813296</v>
      </c>
      <c r="H31" s="221"/>
      <c r="I31" s="221"/>
      <c r="J31" s="221"/>
      <c r="K31" s="221"/>
      <c r="L31" s="221">
        <f>'Step 4 Contract and Reserves'!L31</f>
        <v>0</v>
      </c>
      <c r="M31" s="221"/>
      <c r="N31" s="44"/>
      <c r="O31" s="221">
        <f>'Step 1 Dedicated Funds'!N31</f>
        <v>0</v>
      </c>
      <c r="P31" s="221">
        <f>SUM('Step 1 Dedicated Funds'!O31:T31)</f>
        <v>0</v>
      </c>
      <c r="Q31" s="219"/>
      <c r="R31" s="221">
        <f t="shared" si="1"/>
        <v>813296</v>
      </c>
      <c r="S31" s="225"/>
      <c r="T31" s="221">
        <v>816537</v>
      </c>
      <c r="U31" s="1452"/>
      <c r="W31" s="161"/>
    </row>
    <row r="32" spans="1:23">
      <c r="A32" s="358" t="s">
        <v>453</v>
      </c>
      <c r="B32" s="50">
        <f>'Step 5 Exec and Strategic'!B32</f>
        <v>0</v>
      </c>
      <c r="C32" s="50">
        <f>'Step 5 Exec and Strategic'!C32</f>
        <v>0</v>
      </c>
      <c r="D32" s="50">
        <f>'Step 5 Exec and Strategic'!D32</f>
        <v>0</v>
      </c>
      <c r="E32" s="50">
        <f>'Step 5 Exec and Strategic'!E32</f>
        <v>0</v>
      </c>
      <c r="F32" s="50"/>
      <c r="G32" s="50"/>
      <c r="H32" s="50"/>
      <c r="I32" s="50"/>
      <c r="J32" s="50"/>
      <c r="K32" s="50"/>
      <c r="L32" s="50">
        <f>'Step 4 Contract and Reserves'!L32</f>
        <v>1155412.306081536</v>
      </c>
      <c r="M32" s="50"/>
      <c r="N32" s="50"/>
      <c r="O32" s="50">
        <f>'Step 1 Dedicated Funds'!N32</f>
        <v>0</v>
      </c>
      <c r="P32" s="50">
        <f>SUM('Step 1 Dedicated Funds'!O32:T32)</f>
        <v>0</v>
      </c>
      <c r="Q32" s="42"/>
      <c r="R32" s="50">
        <f t="shared" si="1"/>
        <v>1155412.306081536</v>
      </c>
      <c r="S32" s="162"/>
      <c r="T32" s="50">
        <v>957607</v>
      </c>
      <c r="U32" s="1452"/>
      <c r="W32" s="161"/>
    </row>
    <row r="33" spans="1:23">
      <c r="A33" s="172" t="s">
        <v>88</v>
      </c>
      <c r="B33" s="44">
        <f>'Step 5 Exec and Strategic'!B33</f>
        <v>0</v>
      </c>
      <c r="C33" s="44">
        <f>'Step 5 Exec and Strategic'!C33</f>
        <v>0</v>
      </c>
      <c r="D33" s="44">
        <f>'Step 5 Exec and Strategic'!D33</f>
        <v>0</v>
      </c>
      <c r="E33" s="44">
        <f>'Step 5 Exec and Strategic'!E33</f>
        <v>0</v>
      </c>
      <c r="F33" s="44"/>
      <c r="G33" s="44">
        <f>'Step 6a Service-Support Detail'!M31</f>
        <v>12434094</v>
      </c>
      <c r="H33" s="44"/>
      <c r="I33" s="44"/>
      <c r="J33" s="44"/>
      <c r="K33" s="44"/>
      <c r="L33" s="44">
        <f>'Step 4 Contract and Reserves'!L33</f>
        <v>1809.122006452656</v>
      </c>
      <c r="M33" s="44"/>
      <c r="N33" s="44"/>
      <c r="O33" s="44">
        <f>'Step 1 Dedicated Funds'!N33</f>
        <v>-19667.72</v>
      </c>
      <c r="P33" s="44">
        <f>SUM('Step 1 Dedicated Funds'!O33:T33)</f>
        <v>2897380</v>
      </c>
      <c r="Q33" s="42"/>
      <c r="R33" s="44">
        <f t="shared" si="1"/>
        <v>15313615.402006453</v>
      </c>
      <c r="S33" s="162"/>
      <c r="T33" s="44">
        <v>14975151</v>
      </c>
      <c r="U33" s="1452"/>
      <c r="W33" s="161"/>
    </row>
    <row r="34" spans="1:23">
      <c r="A34" s="359" t="s">
        <v>89</v>
      </c>
      <c r="B34" s="221">
        <f>'Step 5 Exec and Strategic'!B34</f>
        <v>0</v>
      </c>
      <c r="C34" s="221">
        <f>'Step 5 Exec and Strategic'!C34</f>
        <v>0</v>
      </c>
      <c r="D34" s="221">
        <f>'Step 5 Exec and Strategic'!D34</f>
        <v>0</v>
      </c>
      <c r="E34" s="221">
        <f>'Step 5 Exec and Strategic'!E34</f>
        <v>8262240</v>
      </c>
      <c r="F34" s="221"/>
      <c r="G34" s="221"/>
      <c r="H34" s="221"/>
      <c r="I34" s="221"/>
      <c r="J34" s="221"/>
      <c r="K34" s="221"/>
      <c r="L34" s="375">
        <f>'Step 4 Contract and Reserves'!L34</f>
        <v>829840.57305342832</v>
      </c>
      <c r="M34" s="375"/>
      <c r="N34" s="44"/>
      <c r="O34" s="375">
        <f>'Step 1 Dedicated Funds'!N34</f>
        <v>-102890.19200000001</v>
      </c>
      <c r="P34" s="375">
        <f>SUM('Step 1 Dedicated Funds'!O34:T34)</f>
        <v>2080908</v>
      </c>
      <c r="Q34" s="219"/>
      <c r="R34" s="221">
        <f t="shared" si="1"/>
        <v>11070098.381053429</v>
      </c>
      <c r="S34" s="225"/>
      <c r="T34" s="221">
        <v>11507823</v>
      </c>
      <c r="U34" s="1452"/>
      <c r="W34" s="161"/>
    </row>
    <row r="35" spans="1:23">
      <c r="A35" s="362" t="s">
        <v>90</v>
      </c>
      <c r="B35" s="363">
        <f>SUM(B16:B34)</f>
        <v>0</v>
      </c>
      <c r="C35" s="363">
        <f>SUM(C16:C34)</f>
        <v>1810866</v>
      </c>
      <c r="D35" s="363">
        <f>SUM(D16:D34)</f>
        <v>0</v>
      </c>
      <c r="E35" s="363">
        <f>SUM(E16:E34)</f>
        <v>22006904</v>
      </c>
      <c r="F35" s="363"/>
      <c r="G35" s="363">
        <f>SUM(G16:G34)</f>
        <v>13247390</v>
      </c>
      <c r="H35" s="363">
        <f>SUM(H16:H34)</f>
        <v>0</v>
      </c>
      <c r="I35" s="363">
        <f>SUM(I16:I34)</f>
        <v>0</v>
      </c>
      <c r="J35" s="363">
        <f>SUM(J16:J34)</f>
        <v>0</v>
      </c>
      <c r="K35" s="363"/>
      <c r="L35" s="363">
        <f>SUM(L16:L34)</f>
        <v>218544124.19140771</v>
      </c>
      <c r="M35" s="363">
        <f>SUM(M16:M34)</f>
        <v>0</v>
      </c>
      <c r="N35" s="363"/>
      <c r="O35" s="363">
        <f>SUM(O16:O34)</f>
        <v>-2644029.9160000002</v>
      </c>
      <c r="P35" s="363">
        <f>SUM(P16:P34)</f>
        <v>101576114.16776375</v>
      </c>
      <c r="Q35" s="364"/>
      <c r="R35" s="363">
        <f>SUM(R16:R34)</f>
        <v>354541368.44317156</v>
      </c>
      <c r="S35" s="365"/>
      <c r="T35" s="1825">
        <f>SUM(T16:T34)</f>
        <v>347579114</v>
      </c>
      <c r="U35" s="1452"/>
      <c r="W35" s="161"/>
    </row>
    <row r="36" spans="1:23">
      <c r="A36" s="172"/>
      <c r="B36" s="42"/>
      <c r="C36" s="42"/>
      <c r="D36" s="42"/>
      <c r="E36" s="42"/>
      <c r="F36" s="42"/>
      <c r="G36" s="42"/>
      <c r="H36" s="42"/>
      <c r="I36" s="42"/>
      <c r="J36" s="42"/>
      <c r="K36" s="42"/>
      <c r="L36" s="42"/>
      <c r="M36" s="42"/>
      <c r="N36" s="42"/>
      <c r="O36" s="42"/>
      <c r="P36" s="42"/>
      <c r="Q36" s="42"/>
      <c r="R36" s="42"/>
      <c r="S36" s="162"/>
      <c r="T36" s="42"/>
      <c r="W36" s="161"/>
    </row>
    <row r="37" spans="1:23">
      <c r="A37" s="162"/>
      <c r="N37" s="42"/>
      <c r="S37" s="167"/>
      <c r="W37" s="161"/>
    </row>
    <row r="38" spans="1:23">
      <c r="A38" s="49" t="s">
        <v>91</v>
      </c>
      <c r="B38" s="50"/>
      <c r="C38" s="50"/>
      <c r="D38" s="50"/>
      <c r="E38" s="50"/>
      <c r="F38" s="50"/>
      <c r="G38" s="50"/>
      <c r="H38" s="50"/>
      <c r="I38" s="50"/>
      <c r="J38" s="50"/>
      <c r="K38" s="50"/>
      <c r="L38" s="50"/>
      <c r="M38" s="50"/>
      <c r="N38" s="50"/>
      <c r="O38" s="50"/>
      <c r="P38" s="50"/>
      <c r="R38" s="50"/>
      <c r="S38" s="162"/>
      <c r="T38" s="50"/>
      <c r="W38" s="161"/>
    </row>
    <row r="39" spans="1:23">
      <c r="A39" s="173" t="s">
        <v>92</v>
      </c>
      <c r="B39" s="40">
        <f>'Step 5 Exec and Strategic'!B39</f>
        <v>0</v>
      </c>
      <c r="C39" s="40">
        <f>'Step 5 Exec and Strategic'!C39</f>
        <v>20000</v>
      </c>
      <c r="D39" s="40">
        <f>'Step 5 Exec and Strategic'!D39</f>
        <v>8960745</v>
      </c>
      <c r="E39" s="40">
        <f>'Step 5 Exec and Strategic'!E39</f>
        <v>0</v>
      </c>
      <c r="F39" s="176"/>
      <c r="G39" s="176"/>
      <c r="H39" s="176"/>
      <c r="I39" s="176"/>
      <c r="J39" s="176"/>
      <c r="K39" s="176"/>
      <c r="L39" s="176">
        <f>SUM('Step 3 Acad Product &amp; Pools'!L39:Q39)</f>
        <v>7.3258350761008657</v>
      </c>
      <c r="M39" s="176"/>
      <c r="N39" s="44"/>
      <c r="O39" s="176">
        <f>'Step 3 Acad Product &amp; Pools'!T39</f>
        <v>0</v>
      </c>
      <c r="P39" s="176">
        <f>'Step 3 Acad Product &amp; Pools'!U39</f>
        <v>0</v>
      </c>
      <c r="R39" s="40">
        <f t="shared" ref="R39:R57" si="2">SUM(B39:P39)</f>
        <v>8980752.3258350752</v>
      </c>
      <c r="S39" s="162"/>
      <c r="T39" s="40">
        <v>8919523</v>
      </c>
      <c r="U39" s="1452"/>
      <c r="V39" s="12"/>
      <c r="W39" s="161"/>
    </row>
    <row r="40" spans="1:23">
      <c r="A40" s="1319" t="s">
        <v>336</v>
      </c>
      <c r="B40" s="50">
        <f>'Step 5 Exec and Strategic'!B40</f>
        <v>0</v>
      </c>
      <c r="C40" s="50">
        <f>'Step 5 Exec and Strategic'!C40</f>
        <v>7750000</v>
      </c>
      <c r="D40" s="50">
        <f>'Step 5 Exec and Strategic'!D40</f>
        <v>0</v>
      </c>
      <c r="E40" s="44">
        <f>'Step 5 Exec and Strategic'!E40</f>
        <v>0</v>
      </c>
      <c r="F40" s="50"/>
      <c r="G40" s="50"/>
      <c r="H40" s="50"/>
      <c r="I40" s="50"/>
      <c r="J40" s="44"/>
      <c r="K40" s="50"/>
      <c r="L40" s="44">
        <f>SUM('Step 3 Acad Product &amp; Pools'!L40:Q40)</f>
        <v>0</v>
      </c>
      <c r="M40" s="44"/>
      <c r="N40" s="50"/>
      <c r="O40" s="44">
        <f>'Step 3 Acad Product &amp; Pools'!T40</f>
        <v>0</v>
      </c>
      <c r="P40" s="44">
        <f>'Step 3 Acad Product &amp; Pools'!U40</f>
        <v>0</v>
      </c>
      <c r="R40" s="50">
        <f>SUM(B40:P40)</f>
        <v>7750000</v>
      </c>
      <c r="S40" s="162"/>
      <c r="T40" s="50">
        <v>7177760</v>
      </c>
      <c r="U40" s="1452"/>
      <c r="V40" s="12"/>
      <c r="W40" s="161"/>
    </row>
    <row r="41" spans="1:23">
      <c r="A41" s="172" t="s">
        <v>93</v>
      </c>
      <c r="B41" s="50">
        <f>'Step 5 Exec and Strategic'!B41</f>
        <v>0</v>
      </c>
      <c r="C41" s="50">
        <v>0</v>
      </c>
      <c r="D41" s="50">
        <f>'Step 5 Exec and Strategic'!D41</f>
        <v>118200</v>
      </c>
      <c r="E41" s="44">
        <f>'Step 5 Exec and Strategic'!E41</f>
        <v>0</v>
      </c>
      <c r="F41" s="50"/>
      <c r="G41" s="50"/>
      <c r="H41" s="50"/>
      <c r="I41" s="50"/>
      <c r="J41" s="44">
        <f>'Step 6a Service-Support Detail'!M38</f>
        <v>4081953</v>
      </c>
      <c r="K41" s="50"/>
      <c r="L41" s="44">
        <f>SUM('Step 3 Acad Product &amp; Pools'!L41:Q41)</f>
        <v>0</v>
      </c>
      <c r="M41" s="44"/>
      <c r="N41" s="50"/>
      <c r="O41" s="44">
        <f>'Step 3 Acad Product &amp; Pools'!T41</f>
        <v>-666</v>
      </c>
      <c r="P41" s="44">
        <f>'Step 3 Acad Product &amp; Pools'!U41</f>
        <v>9000</v>
      </c>
      <c r="R41" s="50">
        <f t="shared" si="2"/>
        <v>4208487</v>
      </c>
      <c r="S41" s="162"/>
      <c r="T41" s="50">
        <v>4081953</v>
      </c>
      <c r="U41" s="1452"/>
      <c r="V41" s="12"/>
      <c r="W41" s="161"/>
    </row>
    <row r="42" spans="1:23">
      <c r="A42" s="49" t="s">
        <v>94</v>
      </c>
      <c r="B42" s="50">
        <f>'Step 5 Exec and Strategic'!B42</f>
        <v>0</v>
      </c>
      <c r="C42" s="50">
        <f>'Step 5 Exec and Strategic'!C42</f>
        <v>0</v>
      </c>
      <c r="D42" s="50">
        <f>'Step 5 Exec and Strategic'!D42</f>
        <v>995754</v>
      </c>
      <c r="E42" s="44">
        <f>'Step 5 Exec and Strategic'!E42</f>
        <v>0</v>
      </c>
      <c r="F42" s="178"/>
      <c r="G42" s="178"/>
      <c r="H42" s="178"/>
      <c r="I42" s="178"/>
      <c r="J42" s="178"/>
      <c r="K42" s="178"/>
      <c r="L42" s="178">
        <f>SUM('Step 3 Acad Product &amp; Pools'!L42:Q42)</f>
        <v>0</v>
      </c>
      <c r="M42" s="178"/>
      <c r="N42" s="50"/>
      <c r="O42" s="178">
        <f>'Step 3 Acad Product &amp; Pools'!T42</f>
        <v>0</v>
      </c>
      <c r="P42" s="178">
        <f>'Step 3 Acad Product &amp; Pools'!U42</f>
        <v>0</v>
      </c>
      <c r="R42" s="50">
        <f t="shared" si="2"/>
        <v>995754</v>
      </c>
      <c r="S42" s="162"/>
      <c r="T42" s="50">
        <v>1512825</v>
      </c>
      <c r="U42" s="1452"/>
      <c r="V42" s="12"/>
      <c r="W42" s="161"/>
    </row>
    <row r="43" spans="1:23">
      <c r="A43" s="173" t="s">
        <v>95</v>
      </c>
      <c r="B43" s="40">
        <f>'Step 5 Exec and Strategic'!B43</f>
        <v>0</v>
      </c>
      <c r="C43" s="40">
        <f>'Step 5 Exec and Strategic'!C43</f>
        <v>0</v>
      </c>
      <c r="D43" s="40">
        <f>'Step 5 Exec and Strategic'!D43</f>
        <v>2951197</v>
      </c>
      <c r="E43" s="40">
        <f>'Step 5 Exec and Strategic'!E43</f>
        <v>0</v>
      </c>
      <c r="F43" s="176"/>
      <c r="G43" s="176"/>
      <c r="H43" s="176"/>
      <c r="I43" s="176"/>
      <c r="J43" s="176"/>
      <c r="K43" s="176"/>
      <c r="L43" s="176">
        <f>SUM('Step 3 Acad Product &amp; Pools'!L43:Q43)</f>
        <v>0</v>
      </c>
      <c r="M43" s="176"/>
      <c r="N43" s="44"/>
      <c r="O43" s="176">
        <f>'Step 3 Acad Product &amp; Pools'!T43</f>
        <v>0</v>
      </c>
      <c r="P43" s="176">
        <f>'Step 3 Acad Product &amp; Pools'!U43</f>
        <v>0</v>
      </c>
      <c r="R43" s="40">
        <f t="shared" si="2"/>
        <v>2951197</v>
      </c>
      <c r="S43" s="162"/>
      <c r="T43" s="40">
        <v>2951197</v>
      </c>
      <c r="U43" s="1452"/>
      <c r="V43" s="12"/>
      <c r="W43" s="161"/>
    </row>
    <row r="44" spans="1:23">
      <c r="A44" s="172" t="s">
        <v>96</v>
      </c>
      <c r="B44" s="50">
        <f>'Step 5 Exec and Strategic'!B44</f>
        <v>0</v>
      </c>
      <c r="C44" s="50">
        <f>'Step 5 Exec and Strategic'!C44</f>
        <v>0</v>
      </c>
      <c r="D44" s="50">
        <f>'Step 5 Exec and Strategic'!D44</f>
        <v>0</v>
      </c>
      <c r="E44" s="50">
        <f>'Step 5 Exec and Strategic'!E44</f>
        <v>0</v>
      </c>
      <c r="F44" s="50"/>
      <c r="G44" s="50"/>
      <c r="H44" s="50">
        <f>'Step 6a Service-Support Detail'!M41</f>
        <v>7961149</v>
      </c>
      <c r="I44" s="50"/>
      <c r="J44" s="50"/>
      <c r="K44" s="50"/>
      <c r="L44" s="50">
        <f>SUM('Step 3 Acad Product &amp; Pools'!L44:Q44)</f>
        <v>44542.69768917637</v>
      </c>
      <c r="M44" s="50"/>
      <c r="N44" s="50"/>
      <c r="O44" s="50">
        <f>'Step 3 Acad Product &amp; Pools'!T44</f>
        <v>-247900</v>
      </c>
      <c r="P44" s="50">
        <f>'Step 3 Acad Product &amp; Pools'!U44</f>
        <v>3350000</v>
      </c>
      <c r="R44" s="50">
        <f t="shared" si="2"/>
        <v>11107791.697689176</v>
      </c>
      <c r="S44" s="162"/>
      <c r="T44" s="50">
        <v>10531320</v>
      </c>
      <c r="U44" s="1452"/>
      <c r="V44" s="12"/>
      <c r="W44" s="161"/>
    </row>
    <row r="45" spans="1:23">
      <c r="A45" s="358" t="s">
        <v>474</v>
      </c>
      <c r="B45" s="50">
        <f>'Step 5 Exec and Strategic'!B45</f>
        <v>0</v>
      </c>
      <c r="C45" s="50">
        <f>'Step 5 Exec and Strategic'!C45</f>
        <v>0</v>
      </c>
      <c r="D45" s="50">
        <f>'Step 5 Exec and Strategic'!D45</f>
        <v>0</v>
      </c>
      <c r="E45" s="50">
        <f>'Step 5 Exec and Strategic'!E45</f>
        <v>0</v>
      </c>
      <c r="F45" s="50"/>
      <c r="G45" s="50"/>
      <c r="H45" s="50">
        <f>'Step 6a Service-Support Detail'!M42</f>
        <v>2837793</v>
      </c>
      <c r="I45" s="50"/>
      <c r="J45" s="50"/>
      <c r="K45" s="50"/>
      <c r="L45" s="50">
        <f>SUM('Step 3 Acad Product &amp; Pools'!L45:Q45)</f>
        <v>601734.89493933867</v>
      </c>
      <c r="M45" s="50"/>
      <c r="N45" s="50"/>
      <c r="O45" s="50">
        <f>'Step 3 Acad Product &amp; Pools'!T45</f>
        <v>-141710</v>
      </c>
      <c r="P45" s="50">
        <f>'Step 3 Acad Product &amp; Pools'!U45</f>
        <v>1915000</v>
      </c>
      <c r="R45" s="50">
        <f t="shared" si="2"/>
        <v>5212817.8949393388</v>
      </c>
      <c r="S45" s="162"/>
      <c r="T45" s="50">
        <v>6381261</v>
      </c>
      <c r="U45" s="1452"/>
      <c r="V45" s="12"/>
      <c r="W45" s="161"/>
    </row>
    <row r="46" spans="1:23">
      <c r="A46" s="1890" t="s">
        <v>1947</v>
      </c>
      <c r="B46" s="50">
        <f>'Step 5 Exec and Strategic'!B46</f>
        <v>0</v>
      </c>
      <c r="C46" s="50">
        <f>'Step 5 Exec and Strategic'!C46</f>
        <v>0</v>
      </c>
      <c r="D46" s="50">
        <f>'Step 5 Exec and Strategic'!D46</f>
        <v>0</v>
      </c>
      <c r="E46" s="50">
        <f>'Step 5 Exec and Strategic'!E46</f>
        <v>0</v>
      </c>
      <c r="F46" s="50"/>
      <c r="G46" s="50"/>
      <c r="H46" s="50">
        <f>'Step 1 Dedicated Funds'!H46+'Step 6a Service-Support Detail'!M43</f>
        <v>2063500</v>
      </c>
      <c r="I46" s="50"/>
      <c r="J46" s="50"/>
      <c r="K46" s="50"/>
      <c r="L46" s="50">
        <f>SUM('Step 3 Acad Product &amp; Pools'!L46:Q46)</f>
        <v>4934.5384274804937</v>
      </c>
      <c r="M46" s="50"/>
      <c r="N46" s="50"/>
      <c r="O46" s="50">
        <f>'Step 3 Acad Product &amp; Pools'!T46</f>
        <v>-3700</v>
      </c>
      <c r="P46" s="50">
        <f>'Step 3 Acad Product &amp; Pools'!U46</f>
        <v>50000</v>
      </c>
      <c r="R46" s="50">
        <f t="shared" si="2"/>
        <v>2114734.5384274805</v>
      </c>
      <c r="S46" s="162"/>
      <c r="T46" s="50">
        <v>1904613</v>
      </c>
      <c r="U46" s="1452"/>
      <c r="V46" s="12"/>
      <c r="W46" s="161"/>
    </row>
    <row r="47" spans="1:23">
      <c r="A47" s="173" t="s">
        <v>98</v>
      </c>
      <c r="B47" s="40">
        <f>'Step 5 Exec and Strategic'!B47</f>
        <v>0</v>
      </c>
      <c r="C47" s="40">
        <v>0</v>
      </c>
      <c r="D47" s="40">
        <f>'Step 5 Exec and Strategic'!D47</f>
        <v>0</v>
      </c>
      <c r="E47" s="40">
        <f>'Step 5 Exec and Strategic'!E47</f>
        <v>0</v>
      </c>
      <c r="F47" s="40"/>
      <c r="G47" s="221">
        <f>'Step 1 Dedicated Funds'!G47+'Step 6a Service-Support Detail'!M44</f>
        <v>22239184</v>
      </c>
      <c r="H47" s="40"/>
      <c r="I47" s="40"/>
      <c r="J47" s="40"/>
      <c r="K47" s="40"/>
      <c r="L47" s="40">
        <f>SUM('Step 3 Acad Product &amp; Pools'!L47:Q47)</f>
        <v>602.97011536474429</v>
      </c>
      <c r="M47" s="40"/>
      <c r="N47" s="44"/>
      <c r="O47" s="40">
        <f>'Step 3 Acad Product &amp; Pools'!T47</f>
        <v>-14800</v>
      </c>
      <c r="P47" s="40">
        <f>'Step 3 Acad Product &amp; Pools'!U47</f>
        <v>2831600</v>
      </c>
      <c r="R47" s="40">
        <f t="shared" si="2"/>
        <v>25056586.970115364</v>
      </c>
      <c r="S47" s="162"/>
      <c r="T47" s="40">
        <v>23770557</v>
      </c>
      <c r="U47" s="1452"/>
      <c r="V47" s="12"/>
      <c r="W47" s="161"/>
    </row>
    <row r="48" spans="1:23">
      <c r="A48" s="172" t="s">
        <v>475</v>
      </c>
      <c r="B48" s="50">
        <f>'Step 5 Exec and Strategic'!B48</f>
        <v>0</v>
      </c>
      <c r="C48" s="50">
        <f>'Step 5 Exec and Strategic'!C48</f>
        <v>930050</v>
      </c>
      <c r="D48" s="50">
        <f>'Step 5 Exec and Strategic'!D48</f>
        <v>0</v>
      </c>
      <c r="E48" s="50">
        <f>'Step 5 Exec and Strategic'!E48</f>
        <v>0</v>
      </c>
      <c r="F48" s="50"/>
      <c r="G48" s="44">
        <f>'Step 1 Dedicated Funds'!G48+'Step 6a Service-Support Detail'!M45</f>
        <v>2533977</v>
      </c>
      <c r="H48" s="50"/>
      <c r="I48" s="50"/>
      <c r="J48" s="50"/>
      <c r="K48" s="50"/>
      <c r="L48" s="50">
        <f>SUM('Step 3 Acad Product &amp; Pools'!L48:Q48)</f>
        <v>0</v>
      </c>
      <c r="M48" s="50"/>
      <c r="N48" s="50"/>
      <c r="O48" s="50">
        <f>'Step 3 Acad Product &amp; Pools'!T48</f>
        <v>-77700</v>
      </c>
      <c r="P48" s="50">
        <f>'Step 3 Acad Product &amp; Pools'!U48</f>
        <v>1488600</v>
      </c>
      <c r="R48" s="50">
        <f t="shared" si="2"/>
        <v>4874927</v>
      </c>
      <c r="S48" s="162"/>
      <c r="T48" s="50">
        <v>4978877</v>
      </c>
      <c r="U48" s="1452"/>
      <c r="V48" s="12"/>
      <c r="W48" s="161"/>
    </row>
    <row r="49" spans="1:24">
      <c r="A49" s="49" t="s">
        <v>85</v>
      </c>
      <c r="B49" s="50">
        <f>'Step 5 Exec and Strategic'!B49</f>
        <v>0</v>
      </c>
      <c r="C49" s="50">
        <f>'Step 5 Exec and Strategic'!C49</f>
        <v>0</v>
      </c>
      <c r="D49" s="50">
        <f>'Step 5 Exec and Strategic'!D49</f>
        <v>0</v>
      </c>
      <c r="E49" s="50">
        <f>'Step 5 Exec and Strategic'!E49</f>
        <v>0</v>
      </c>
      <c r="F49" s="50"/>
      <c r="G49" s="44">
        <f>'Step 6a Service-Support Detail'!M46</f>
        <v>1492772</v>
      </c>
      <c r="H49" s="50"/>
      <c r="I49" s="50"/>
      <c r="J49" s="50"/>
      <c r="K49" s="50"/>
      <c r="L49" s="50">
        <f>SUM('Step 3 Acad Product &amp; Pools'!L49:Q49)</f>
        <v>11213.601234313732</v>
      </c>
      <c r="M49" s="50"/>
      <c r="N49" s="50"/>
      <c r="O49" s="50">
        <f>'Step 3 Acad Product &amp; Pools'!T49</f>
        <v>-3330</v>
      </c>
      <c r="P49" s="50">
        <f>'Step 3 Acad Product &amp; Pools'!U49</f>
        <v>45000</v>
      </c>
      <c r="R49" s="50">
        <f t="shared" si="2"/>
        <v>1545655.6012343138</v>
      </c>
      <c r="S49" s="162"/>
      <c r="T49" s="50">
        <v>1507856</v>
      </c>
      <c r="U49" s="1452"/>
      <c r="V49" s="12"/>
      <c r="W49" s="161"/>
    </row>
    <row r="50" spans="1:24">
      <c r="A50" s="359" t="s">
        <v>99</v>
      </c>
      <c r="B50" s="222">
        <f>'Step 5 Exec and Strategic'!B50</f>
        <v>0</v>
      </c>
      <c r="C50" s="222">
        <f>'Step 5 Exec and Strategic'!C50</f>
        <v>0</v>
      </c>
      <c r="D50" s="222">
        <f>'Step 5 Exec and Strategic'!D50</f>
        <v>0</v>
      </c>
      <c r="E50" s="222">
        <f>'Step 5 Exec and Strategic'!E50</f>
        <v>0</v>
      </c>
      <c r="F50" s="222"/>
      <c r="G50" s="221">
        <f>'Step 1 Dedicated Funds'!G50+'Step 6a Service-Support Detail'!M47</f>
        <v>4493343</v>
      </c>
      <c r="H50" s="222"/>
      <c r="I50" s="222"/>
      <c r="J50" s="222"/>
      <c r="K50" s="222"/>
      <c r="L50" s="222">
        <f>SUM('Step 3 Acad Product &amp; Pools'!L50:Q50)</f>
        <v>0</v>
      </c>
      <c r="M50" s="222"/>
      <c r="N50" s="50"/>
      <c r="O50" s="222">
        <f>'Step 3 Acad Product &amp; Pools'!T50</f>
        <v>0</v>
      </c>
      <c r="P50" s="222">
        <f>'Step 3 Acad Product &amp; Pools'!U50</f>
        <v>3658800</v>
      </c>
      <c r="Q50" s="219"/>
      <c r="R50" s="222">
        <f t="shared" si="2"/>
        <v>8152143</v>
      </c>
      <c r="S50" s="162"/>
      <c r="T50" s="222">
        <v>7933343</v>
      </c>
      <c r="U50" s="1452"/>
      <c r="V50" s="12"/>
      <c r="W50" s="161"/>
    </row>
    <row r="51" spans="1:24">
      <c r="A51" s="172" t="s">
        <v>100</v>
      </c>
      <c r="B51" s="44">
        <f>'Step 5 Exec and Strategic'!B51</f>
        <v>0</v>
      </c>
      <c r="C51" s="44">
        <f>'Step 5 Exec and Strategic'!C51</f>
        <v>0</v>
      </c>
      <c r="D51" s="44">
        <f>'Step 5 Exec and Strategic'!D51</f>
        <v>0</v>
      </c>
      <c r="E51" s="44">
        <f>'Step 5 Exec and Strategic'!E51</f>
        <v>0</v>
      </c>
      <c r="F51" s="44"/>
      <c r="G51" s="44"/>
      <c r="H51" s="50">
        <f>'Step 6a Service-Support Detail'!M48</f>
        <v>9790128</v>
      </c>
      <c r="I51" s="44"/>
      <c r="J51" s="44"/>
      <c r="K51" s="44"/>
      <c r="L51" s="44">
        <f>SUM('Step 3 Acad Product &amp; Pools'!L51:Q51)</f>
        <v>1359432.3894694957</v>
      </c>
      <c r="M51" s="44"/>
      <c r="N51" s="44"/>
      <c r="O51" s="44">
        <f>'Step 3 Acad Product &amp; Pools'!T51</f>
        <v>-112682.538</v>
      </c>
      <c r="P51" s="44">
        <f>'Step 3 Acad Product &amp; Pools'!U51</f>
        <v>1522737</v>
      </c>
      <c r="Q51" s="42"/>
      <c r="R51" s="44">
        <f t="shared" si="2"/>
        <v>12559614.851469494</v>
      </c>
      <c r="S51" s="162"/>
      <c r="T51" s="44">
        <v>13396050</v>
      </c>
      <c r="U51" s="1452"/>
      <c r="V51" s="12"/>
      <c r="W51" s="161"/>
    </row>
    <row r="52" spans="1:24">
      <c r="A52" s="172" t="s">
        <v>101</v>
      </c>
      <c r="B52" s="50">
        <f>'Step 5 Exec and Strategic'!B52</f>
        <v>0</v>
      </c>
      <c r="C52" s="50">
        <f>'Step 5 Exec and Strategic'!C52</f>
        <v>0</v>
      </c>
      <c r="D52" s="50">
        <f>'Step 5 Exec and Strategic'!D52</f>
        <v>0</v>
      </c>
      <c r="E52" s="50">
        <f>'Step 5 Exec and Strategic'!E52</f>
        <v>0</v>
      </c>
      <c r="F52" s="50"/>
      <c r="G52" s="50"/>
      <c r="H52" s="50"/>
      <c r="I52" s="50"/>
      <c r="J52" s="44">
        <f>'Step 1 Dedicated Funds'!J52+'Step 6a Service-Support Detail'!M49</f>
        <v>11893698</v>
      </c>
      <c r="K52" s="50"/>
      <c r="L52" s="44">
        <f>SUM('Step 3 Acad Product &amp; Pools'!L52:Q52)</f>
        <v>0</v>
      </c>
      <c r="M52" s="44"/>
      <c r="N52" s="50"/>
      <c r="O52" s="44">
        <f>'Step 3 Acad Product &amp; Pools'!T52</f>
        <v>0</v>
      </c>
      <c r="P52" s="44">
        <f>'Step 3 Acad Product &amp; Pools'!U52</f>
        <v>1754400</v>
      </c>
      <c r="Q52" s="42"/>
      <c r="R52" s="50">
        <f t="shared" si="2"/>
        <v>13648098</v>
      </c>
      <c r="S52" s="162"/>
      <c r="T52" s="50">
        <v>13613698</v>
      </c>
      <c r="U52" s="1452"/>
      <c r="V52" s="12"/>
      <c r="W52" s="161"/>
    </row>
    <row r="53" spans="1:24">
      <c r="A53" s="359" t="s">
        <v>102</v>
      </c>
      <c r="B53" s="222">
        <f>'Step 5 Exec and Strategic'!B53</f>
        <v>0</v>
      </c>
      <c r="C53" s="222">
        <f>'Step 5 Exec and Strategic'!C53</f>
        <v>0</v>
      </c>
      <c r="D53" s="222">
        <f>'Step 5 Exec and Strategic'!D53</f>
        <v>0</v>
      </c>
      <c r="E53" s="222">
        <f>'Step 5 Exec and Strategic'!E53</f>
        <v>0</v>
      </c>
      <c r="F53" s="222"/>
      <c r="G53" s="222"/>
      <c r="H53" s="222"/>
      <c r="I53" s="222"/>
      <c r="J53" s="221">
        <f>'Step 1 Dedicated Funds'!J53+'Step 6a Service-Support Detail'!M50</f>
        <v>28573610</v>
      </c>
      <c r="K53" s="222"/>
      <c r="L53" s="221">
        <f>SUM('Step 3 Acad Product &amp; Pools'!L53:Q53)</f>
        <v>0</v>
      </c>
      <c r="M53" s="221"/>
      <c r="N53" s="50"/>
      <c r="O53" s="221">
        <f>'Step 3 Acad Product &amp; Pools'!T53</f>
        <v>-65120</v>
      </c>
      <c r="P53" s="221">
        <f>'Step 3 Acad Product &amp; Pools'!U53</f>
        <v>2634400</v>
      </c>
      <c r="Q53" s="219"/>
      <c r="R53" s="222">
        <f t="shared" si="2"/>
        <v>31142890</v>
      </c>
      <c r="S53" s="162"/>
      <c r="T53" s="222">
        <v>30168812</v>
      </c>
      <c r="U53" s="1452"/>
      <c r="V53" s="12"/>
      <c r="W53" s="161"/>
    </row>
    <row r="54" spans="1:24">
      <c r="A54" s="172" t="s">
        <v>103</v>
      </c>
      <c r="B54" s="44">
        <f>'Step 5 Exec and Strategic'!B54</f>
        <v>0</v>
      </c>
      <c r="C54" s="44">
        <f>'Step 5 Exec and Strategic'!C54</f>
        <v>0</v>
      </c>
      <c r="D54" s="44">
        <f>'Step 5 Exec and Strategic'!D54</f>
        <v>0</v>
      </c>
      <c r="E54" s="44">
        <f>'Step 5 Exec and Strategic'!E54</f>
        <v>0</v>
      </c>
      <c r="F54" s="44"/>
      <c r="G54" s="44"/>
      <c r="H54" s="44"/>
      <c r="I54" s="44">
        <f>'Step 6a Service-Support Detail'!M51</f>
        <v>23739395</v>
      </c>
      <c r="J54" s="44"/>
      <c r="K54" s="44"/>
      <c r="L54" s="44">
        <f>SUM('Step 3 Acad Product &amp; Pools'!L54:Q54)</f>
        <v>435.06190005183799</v>
      </c>
      <c r="M54" s="44"/>
      <c r="N54" s="44"/>
      <c r="O54" s="44">
        <f>'Step 3 Acad Product &amp; Pools'!T54</f>
        <v>0</v>
      </c>
      <c r="P54" s="44">
        <f>'Step 3 Acad Product &amp; Pools'!U54</f>
        <v>4824600</v>
      </c>
      <c r="Q54" s="42"/>
      <c r="R54" s="44">
        <f t="shared" si="2"/>
        <v>28564430.061900053</v>
      </c>
      <c r="S54" s="162"/>
      <c r="T54" s="44">
        <v>18588968</v>
      </c>
      <c r="U54" s="1452"/>
      <c r="V54" s="12"/>
      <c r="W54" s="161"/>
    </row>
    <row r="55" spans="1:24">
      <c r="A55" s="172" t="s">
        <v>450</v>
      </c>
      <c r="B55" s="44">
        <f>'Step 5 Exec and Strategic'!B55</f>
        <v>0</v>
      </c>
      <c r="C55" s="44">
        <f>'Step 5 Exec and Strategic'!C55</f>
        <v>0</v>
      </c>
      <c r="D55" s="44">
        <f>'Step 5 Exec and Strategic'!D55</f>
        <v>0</v>
      </c>
      <c r="E55" s="44">
        <f>'Step 5 Exec and Strategic'!E55</f>
        <v>0</v>
      </c>
      <c r="F55" s="44"/>
      <c r="G55" s="44"/>
      <c r="H55" s="44"/>
      <c r="I55" s="44"/>
      <c r="J55" s="44">
        <f>'Step 6a Service-Support Detail'!P52</f>
        <v>0</v>
      </c>
      <c r="K55" s="44"/>
      <c r="L55" s="44">
        <f>SUM('Step 3 Acad Product &amp; Pools'!L55:Q55)</f>
        <v>0</v>
      </c>
      <c r="M55" s="44"/>
      <c r="N55" s="44"/>
      <c r="O55" s="44">
        <f>'Step 3 Acad Product &amp; Pools'!T55</f>
        <v>0</v>
      </c>
      <c r="P55" s="44">
        <f>'Step 3 Acad Product &amp; Pools'!U55</f>
        <v>0</v>
      </c>
      <c r="Q55" s="42"/>
      <c r="R55" s="44">
        <f t="shared" si="2"/>
        <v>0</v>
      </c>
      <c r="S55" s="162"/>
      <c r="T55" s="44">
        <v>0</v>
      </c>
      <c r="U55" s="1452"/>
      <c r="V55" s="12"/>
      <c r="W55" s="161"/>
    </row>
    <row r="56" spans="1:24">
      <c r="A56" s="377" t="s">
        <v>476</v>
      </c>
      <c r="B56" s="221">
        <f>'Step 5 Exec and Strategic'!B56</f>
        <v>0</v>
      </c>
      <c r="C56" s="221">
        <f>'Step 5 Exec and Strategic'!C56</f>
        <v>0</v>
      </c>
      <c r="D56" s="221">
        <f>'Step 5 Exec and Strategic'!D56</f>
        <v>0</v>
      </c>
      <c r="E56" s="221">
        <f>'Step 5 Exec and Strategic'!E56</f>
        <v>0</v>
      </c>
      <c r="F56" s="221"/>
      <c r="G56" s="221"/>
      <c r="H56" s="221"/>
      <c r="I56" s="221"/>
      <c r="J56" s="221">
        <f>'Step 6a Service-Support Detail'!M53</f>
        <v>0</v>
      </c>
      <c r="K56" s="221"/>
      <c r="L56" s="221">
        <f>SUM('Step 3 Acad Product &amp; Pools'!L56:Q56)</f>
        <v>0</v>
      </c>
      <c r="M56" s="221"/>
      <c r="N56" s="44"/>
      <c r="O56" s="221">
        <f>'Step 3 Acad Product &amp; Pools'!T56</f>
        <v>0</v>
      </c>
      <c r="P56" s="221">
        <f>'Step 3 Acad Product &amp; Pools'!U56</f>
        <v>877200</v>
      </c>
      <c r="Q56" s="219"/>
      <c r="R56" s="222">
        <f t="shared" si="2"/>
        <v>877200</v>
      </c>
      <c r="S56" s="162"/>
      <c r="T56" s="222">
        <v>2400967</v>
      </c>
      <c r="U56" s="1452"/>
      <c r="V56" s="12"/>
      <c r="W56" s="161"/>
    </row>
    <row r="57" spans="1:24">
      <c r="A57" s="172" t="s">
        <v>104</v>
      </c>
      <c r="B57" s="50">
        <f>'Step 5 Exec and Strategic'!B57</f>
        <v>0</v>
      </c>
      <c r="C57" s="50">
        <f>'Step 5 Exec and Strategic'!C57</f>
        <v>0</v>
      </c>
      <c r="D57" s="50">
        <f>'Step 5 Exec and Strategic'!D57</f>
        <v>0</v>
      </c>
      <c r="E57" s="50">
        <f>'Step 5 Exec and Strategic'!E57</f>
        <v>0</v>
      </c>
      <c r="F57" s="50"/>
      <c r="G57" s="50"/>
      <c r="H57" s="50"/>
      <c r="I57" s="44">
        <f>'Step 6a Service-Support Detail'!M54</f>
        <v>0</v>
      </c>
      <c r="J57" s="50"/>
      <c r="K57" s="50"/>
      <c r="L57" s="50">
        <f>SUM('Step 3 Acad Product &amp; Pools'!L57:Q57)</f>
        <v>0</v>
      </c>
      <c r="M57" s="50"/>
      <c r="N57" s="50"/>
      <c r="O57" s="50">
        <f>'Step 3 Acad Product &amp; Pools'!T57</f>
        <v>-5180</v>
      </c>
      <c r="P57" s="50">
        <f>'Step 3 Acad Product &amp; Pools'!U57</f>
        <v>4456000</v>
      </c>
      <c r="R57" s="50">
        <f t="shared" si="2"/>
        <v>4450820</v>
      </c>
      <c r="S57" s="162"/>
      <c r="T57" s="50">
        <v>12293440</v>
      </c>
      <c r="U57" s="1452"/>
      <c r="V57" s="12"/>
      <c r="W57" s="161"/>
    </row>
    <row r="58" spans="1:24">
      <c r="A58" s="366" t="s">
        <v>105</v>
      </c>
      <c r="B58" s="367">
        <f>SUM(B39:B57)</f>
        <v>0</v>
      </c>
      <c r="C58" s="367">
        <f>SUM(C39:C57)</f>
        <v>8700050</v>
      </c>
      <c r="D58" s="367">
        <f>SUM(D39:D57)</f>
        <v>13025896</v>
      </c>
      <c r="E58" s="367">
        <f>SUM(E39:E57)</f>
        <v>0</v>
      </c>
      <c r="F58" s="367"/>
      <c r="G58" s="367">
        <f>SUM(G39:G57)</f>
        <v>30759276</v>
      </c>
      <c r="H58" s="367">
        <f>SUM(H39:H57)</f>
        <v>22652570</v>
      </c>
      <c r="I58" s="367">
        <f>SUM(I39:I57)</f>
        <v>23739395</v>
      </c>
      <c r="J58" s="367">
        <f>SUM(J39:J57)</f>
        <v>44549261</v>
      </c>
      <c r="K58" s="367"/>
      <c r="L58" s="367">
        <f>SUM(L39:L57)</f>
        <v>2022903.4796102976</v>
      </c>
      <c r="M58" s="367">
        <f>SUM(M39:M57)</f>
        <v>0</v>
      </c>
      <c r="N58" s="168"/>
      <c r="O58" s="367">
        <f>SUM(O39:O57)</f>
        <v>-672788.53799999994</v>
      </c>
      <c r="P58" s="367">
        <f>SUM(P39:P57)</f>
        <v>29417337</v>
      </c>
      <c r="Q58" s="364"/>
      <c r="R58" s="367">
        <f>SUM(R39:R57)</f>
        <v>174193899.94161031</v>
      </c>
      <c r="S58" s="365"/>
      <c r="T58" s="1826">
        <f>SUM(T39:T57)</f>
        <v>172113020</v>
      </c>
      <c r="U58" s="1452"/>
      <c r="V58" s="161"/>
      <c r="W58" s="161"/>
    </row>
    <row r="59" spans="1:24" ht="16.5" thickBot="1">
      <c r="A59" s="368" t="s">
        <v>106</v>
      </c>
      <c r="B59" s="369">
        <f>B6+B7+B8+B9+B10+B11+B12+B35+B58</f>
        <v>48474350.769999996</v>
      </c>
      <c r="C59" s="369">
        <f>C6+C7+C8+C9+C10+C11+C12+C35+C58</f>
        <v>11948324.531525379</v>
      </c>
      <c r="D59" s="369">
        <f>D6+D7+D8+D9+D10+D11+D12+D35+D58</f>
        <v>13025896</v>
      </c>
      <c r="E59" s="369">
        <f>E6+E7+E8+E9+E10+E11+E12+E35+E58</f>
        <v>22100000</v>
      </c>
      <c r="F59" s="369"/>
      <c r="G59" s="369">
        <f>G6+G7+G8+G9+G10+G11+G12+G35+G58</f>
        <v>37185570.889961779</v>
      </c>
      <c r="H59" s="369">
        <f>H6+H7+H8+H9+H10+H11+H12+H35+H58</f>
        <v>22652570</v>
      </c>
      <c r="I59" s="369">
        <f>I6+I7+I8+I9+I10+I11+I12+I35+I58</f>
        <v>23739395</v>
      </c>
      <c r="J59" s="369">
        <f>J6+J7+J8+J9+J10+J11+J12+J35+J58</f>
        <v>44549261</v>
      </c>
      <c r="K59" s="369"/>
      <c r="L59" s="369">
        <f>L6+L7+L8+L9+L10+L11+L12+L35+L58</f>
        <v>220567027.671018</v>
      </c>
      <c r="M59" s="369">
        <f>M6+M7+M8+M9+M10+M11+M12+M35+M58</f>
        <v>0</v>
      </c>
      <c r="N59" s="194"/>
      <c r="O59" s="369">
        <f>O6+O7+O8+O9+O10+O11+O12+O35+O58</f>
        <v>-3586918.4539999999</v>
      </c>
      <c r="P59" s="369">
        <f>P6+P7+P8+P9+P10+P11+P12+P35+P58</f>
        <v>156760749.16776377</v>
      </c>
      <c r="Q59" s="370"/>
      <c r="R59" s="369">
        <f>R6+R7+R8+R9+R10+R11+R12+R35+R58</f>
        <v>597416226.57626903</v>
      </c>
      <c r="S59" s="371"/>
      <c r="T59" s="781">
        <f>SUM(T6:T12)+T35+T58</f>
        <v>574133379.23672247</v>
      </c>
      <c r="U59" s="161"/>
      <c r="V59" s="161"/>
      <c r="W59" s="161"/>
    </row>
    <row r="60" spans="1:24" ht="17.25" thickTop="1" thickBot="1">
      <c r="A60" s="172"/>
      <c r="B60" s="172"/>
      <c r="C60" s="172"/>
      <c r="D60" s="172"/>
      <c r="E60" s="172"/>
      <c r="F60" s="172"/>
      <c r="G60" s="172"/>
      <c r="H60" s="172"/>
      <c r="I60" s="172"/>
      <c r="J60" s="315"/>
      <c r="K60" s="172"/>
      <c r="L60" s="166"/>
      <c r="M60" s="166"/>
      <c r="N60" s="50"/>
      <c r="O60" s="50"/>
      <c r="P60" s="50"/>
      <c r="Q60" s="167"/>
      <c r="R60" s="165">
        <f>SUM(B59:P59)</f>
        <v>597416226.57626891</v>
      </c>
      <c r="S60" s="162"/>
      <c r="T60" s="52"/>
      <c r="U60" s="161"/>
      <c r="V60" s="161"/>
      <c r="W60" s="161"/>
    </row>
    <row r="61" spans="1:24" ht="16.5" thickTop="1">
      <c r="G61" t="s">
        <v>1802</v>
      </c>
      <c r="L61" s="12"/>
      <c r="Q61" s="161"/>
      <c r="R61" s="163">
        <f>SUM(B59:P59)</f>
        <v>597416226.57626891</v>
      </c>
      <c r="S61" s="161"/>
      <c r="T61" s="163">
        <f>T35+T58+T6+T7+T8+T11+T12</f>
        <v>545954457.23672247</v>
      </c>
      <c r="U61" s="161"/>
      <c r="V61" s="161"/>
      <c r="W61" s="161"/>
      <c r="X61" s="161"/>
    </row>
    <row r="62" spans="1:24">
      <c r="G62" t="s">
        <v>1803</v>
      </c>
      <c r="I62" s="315">
        <f>SUM(G35:J35)+SUM(G58:J58)</f>
        <v>134947892</v>
      </c>
      <c r="J62" s="622"/>
      <c r="L62" s="12"/>
      <c r="Q62" s="161"/>
      <c r="R62" s="161"/>
      <c r="S62" s="161"/>
      <c r="T62" s="161"/>
      <c r="U62" s="161"/>
      <c r="V62" s="161"/>
      <c r="W62" s="161"/>
      <c r="X62" s="161"/>
    </row>
    <row r="63" spans="1:24">
      <c r="G63" t="s">
        <v>1804</v>
      </c>
      <c r="I63" s="315">
        <f>'Step 6a Service-Support Detail'!H1+'Step 6a Service-Support Detail'!H2</f>
        <v>128126796.88996178</v>
      </c>
      <c r="Q63" s="161"/>
      <c r="R63" s="163"/>
      <c r="S63" s="161"/>
      <c r="T63" s="161"/>
      <c r="U63" s="161"/>
      <c r="V63" s="161"/>
      <c r="W63" s="161"/>
      <c r="X63" s="161"/>
    </row>
    <row r="64" spans="1:24">
      <c r="A64" s="161"/>
      <c r="B64" s="161"/>
      <c r="C64" s="161"/>
      <c r="D64" s="161"/>
      <c r="E64" s="161"/>
      <c r="F64" s="161"/>
      <c r="G64" s="161" t="s">
        <v>1805</v>
      </c>
      <c r="H64" s="161"/>
      <c r="I64" s="315">
        <f>I63-I62</f>
        <v>-6821095.1100382209</v>
      </c>
      <c r="J64" s="179"/>
      <c r="K64" s="161"/>
      <c r="L64" s="163"/>
      <c r="M64" s="161"/>
      <c r="N64" s="163"/>
      <c r="O64" s="161"/>
      <c r="P64" s="161"/>
      <c r="Q64" s="161"/>
      <c r="R64" s="161"/>
      <c r="S64" s="161"/>
      <c r="T64" s="161"/>
      <c r="U64" s="161"/>
      <c r="V64" s="161"/>
      <c r="W64" s="161"/>
      <c r="X64" s="161"/>
    </row>
    <row r="65" spans="7:9">
      <c r="G65" t="s">
        <v>1804</v>
      </c>
      <c r="I65" s="315">
        <f>'Step 6a Service-Support Detail'!H3</f>
        <v>-6821095.1100382209</v>
      </c>
    </row>
    <row r="66" spans="7:9">
      <c r="G66" t="s">
        <v>1881</v>
      </c>
      <c r="I66" s="315">
        <f>SUM(G6:G8)</f>
        <v>-6821095.1100382209</v>
      </c>
    </row>
  </sheetData>
  <mergeCells count="4">
    <mergeCell ref="B4:E4"/>
    <mergeCell ref="G4:J4"/>
    <mergeCell ref="L4:M4"/>
    <mergeCell ref="O4:P4"/>
  </mergeCells>
  <phoneticPr fontId="52" type="noConversion"/>
  <pageMargins left="0.75" right="0.75" top="1" bottom="1" header="0.5" footer="0.5"/>
  <pageSetup paperSize="5" scale="43" orientation="landscape" horizontalDpi="4294967292" verticalDpi="4294967292"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B74"/>
  <sheetViews>
    <sheetView tabSelected="1" zoomScale="112" zoomScaleNormal="110" zoomScalePageLayoutView="110" workbookViewId="0">
      <pane xSplit="1" ySplit="5" topLeftCell="B6" activePane="bottomRight" state="frozen"/>
      <selection pane="topRight" activeCell="B1" sqref="B1"/>
      <selection pane="bottomLeft" activeCell="A6" sqref="A6"/>
      <selection pane="bottomRight" activeCell="N13" sqref="N13"/>
    </sheetView>
  </sheetViews>
  <sheetFormatPr defaultColWidth="11" defaultRowHeight="15.75"/>
  <cols>
    <col min="1" max="1" width="33.625" customWidth="1"/>
    <col min="2" max="2" width="12.125" customWidth="1"/>
    <col min="3" max="4" width="12.5" customWidth="1"/>
    <col min="5" max="5" width="15" customWidth="1"/>
    <col min="6" max="6" width="2.5" customWidth="1"/>
    <col min="7" max="7" width="12.875" customWidth="1"/>
    <col min="8" max="8" width="2.375" customWidth="1"/>
    <col min="9" max="9" width="13.625" customWidth="1"/>
    <col min="10" max="10" width="3.375" customWidth="1"/>
    <col min="11" max="12" width="11.625" customWidth="1"/>
    <col min="13" max="13" width="3.875" customWidth="1"/>
    <col min="14" max="15" width="11" customWidth="1"/>
    <col min="16" max="16" width="11.375" customWidth="1"/>
    <col min="17" max="18" width="12.5" customWidth="1"/>
    <col min="19" max="19" width="4.5" customWidth="1"/>
    <col min="20" max="22" width="13.375" customWidth="1"/>
    <col min="23" max="23" width="5.125" customWidth="1"/>
    <col min="24" max="24" width="10" customWidth="1"/>
    <col min="25" max="25" width="13.375" customWidth="1"/>
    <col min="26" max="26" width="15.625" customWidth="1"/>
    <col min="27" max="27" width="5.875" customWidth="1"/>
    <col min="28" max="28" width="14.125" customWidth="1"/>
  </cols>
  <sheetData>
    <row r="1" spans="1:28" ht="16.5" thickBot="1">
      <c r="A1" s="169" t="s">
        <v>61</v>
      </c>
      <c r="B1" s="169"/>
      <c r="C1" s="169"/>
      <c r="D1" s="169"/>
      <c r="E1" s="169"/>
      <c r="F1" s="169"/>
      <c r="G1" s="169"/>
      <c r="H1" s="169"/>
      <c r="I1" s="169"/>
      <c r="J1" s="169"/>
      <c r="K1" s="169"/>
      <c r="L1" s="169"/>
      <c r="M1" s="984"/>
      <c r="N1" s="169"/>
      <c r="O1" s="169"/>
      <c r="P1" s="184"/>
      <c r="Q1" s="169"/>
      <c r="R1" s="169"/>
      <c r="S1" s="169"/>
      <c r="T1" s="169"/>
      <c r="U1" s="169"/>
      <c r="V1" s="169"/>
      <c r="W1" s="169"/>
      <c r="Z1" s="634"/>
      <c r="AA1" s="634"/>
    </row>
    <row r="2" spans="1:28" ht="16.5" thickBot="1">
      <c r="A2" s="169" t="s">
        <v>1614</v>
      </c>
      <c r="B2" s="169"/>
      <c r="C2" s="169"/>
      <c r="D2" s="169"/>
      <c r="E2" s="169"/>
      <c r="F2" s="169"/>
      <c r="G2" s="169"/>
      <c r="H2" s="169"/>
      <c r="I2" s="169"/>
      <c r="J2" s="169"/>
      <c r="K2" s="169"/>
      <c r="L2" s="169"/>
      <c r="M2" s="169"/>
      <c r="R2" s="196" t="s">
        <v>174</v>
      </c>
      <c r="S2" s="840"/>
      <c r="T2" s="201">
        <f>'Step 6 Service-Support'!T2</f>
        <v>597416226.57626891</v>
      </c>
      <c r="U2" s="1830"/>
      <c r="V2" s="1254">
        <v>4600000</v>
      </c>
    </row>
    <row r="3" spans="1:28" ht="16.5" thickBot="1">
      <c r="A3" s="169"/>
      <c r="B3" s="169"/>
      <c r="C3" s="169"/>
      <c r="D3" s="169"/>
      <c r="E3" s="169"/>
      <c r="F3" s="169"/>
      <c r="G3" s="169"/>
      <c r="H3" s="169"/>
      <c r="I3" s="169"/>
      <c r="J3" s="169"/>
      <c r="K3" s="169"/>
      <c r="L3" s="169"/>
      <c r="M3" s="169"/>
      <c r="N3" s="169"/>
      <c r="O3" s="169"/>
      <c r="P3" s="169"/>
      <c r="Q3" s="169"/>
      <c r="R3" s="198" t="s">
        <v>175</v>
      </c>
      <c r="S3" s="169"/>
      <c r="T3" s="200">
        <f>T2-R59</f>
        <v>0</v>
      </c>
      <c r="U3" s="169"/>
      <c r="V3" s="1853">
        <f>V2/(SUM(B35:P35)+SUM(B58:P58))</f>
        <v>8.646296177327489E-3</v>
      </c>
      <c r="W3" s="169"/>
    </row>
    <row r="4" spans="1:28">
      <c r="A4" s="170"/>
      <c r="B4" s="1946" t="s">
        <v>165</v>
      </c>
      <c r="C4" s="1946"/>
      <c r="D4" s="1946"/>
      <c r="E4" s="1946"/>
      <c r="F4" s="190"/>
      <c r="G4" s="598"/>
      <c r="H4" s="195"/>
      <c r="I4" s="1290"/>
      <c r="J4" s="170"/>
      <c r="K4" s="1942" t="s">
        <v>151</v>
      </c>
      <c r="L4" s="1942"/>
      <c r="M4" s="190"/>
      <c r="N4" s="633"/>
      <c r="O4" s="633"/>
      <c r="P4" s="633"/>
      <c r="Q4" s="633"/>
      <c r="R4" s="1254" t="s">
        <v>1287</v>
      </c>
      <c r="S4" s="1254"/>
      <c r="T4" s="1254">
        <f>SUM(B6,B7,C8,E10,G6,G7,G8,K7,L7,N8,O8,Q8,P8)</f>
        <v>4472778.9869197141</v>
      </c>
      <c r="U4" s="1855" t="s">
        <v>1902</v>
      </c>
      <c r="V4" s="1855"/>
    </row>
    <row r="5" spans="1:28" ht="60.95" customHeight="1">
      <c r="A5" s="180" t="s">
        <v>68</v>
      </c>
      <c r="B5" s="181" t="s">
        <v>172</v>
      </c>
      <c r="C5" s="181" t="s">
        <v>700</v>
      </c>
      <c r="D5" s="224" t="s">
        <v>635</v>
      </c>
      <c r="E5" s="224" t="s">
        <v>1346</v>
      </c>
      <c r="F5" s="231"/>
      <c r="G5" s="229" t="s">
        <v>163</v>
      </c>
      <c r="H5" s="230"/>
      <c r="I5" s="1291" t="s">
        <v>1321</v>
      </c>
      <c r="J5" s="224"/>
      <c r="K5" s="224" t="s">
        <v>164</v>
      </c>
      <c r="L5" s="224" t="s">
        <v>168</v>
      </c>
      <c r="M5" s="231"/>
      <c r="N5" s="231" t="s">
        <v>958</v>
      </c>
      <c r="O5" s="231" t="s">
        <v>1288</v>
      </c>
      <c r="P5" s="231" t="s">
        <v>1345</v>
      </c>
      <c r="Q5" s="231" t="s">
        <v>1896</v>
      </c>
      <c r="R5" s="224" t="s">
        <v>1611</v>
      </c>
      <c r="S5" s="1076"/>
      <c r="T5" s="224" t="s">
        <v>1806</v>
      </c>
      <c r="U5" s="1831" t="s">
        <v>1903</v>
      </c>
      <c r="V5" s="1831" t="s">
        <v>1901</v>
      </c>
    </row>
    <row r="6" spans="1:28">
      <c r="A6" s="171" t="s">
        <v>470</v>
      </c>
      <c r="B6" s="1897">
        <f>'Step 6 Service-Support'!B6</f>
        <v>3288473.2881894102</v>
      </c>
      <c r="C6" s="40">
        <f>'Step 6 Service-Support'!C6</f>
        <v>0</v>
      </c>
      <c r="D6" s="40">
        <f>'Step 6 Service-Support'!D6</f>
        <v>0</v>
      </c>
      <c r="E6" s="40">
        <f>'Step 6 Service-Support'!E6</f>
        <v>0</v>
      </c>
      <c r="F6" s="50"/>
      <c r="G6" s="1897">
        <f>'Step 6 Service-Support'!G6+'Step 6 Service-Support'!H6+'Step 6 Service-Support'!I6+'Step 6 Service-Support'!J6</f>
        <v>-3288473.2881894102</v>
      </c>
      <c r="H6" s="44"/>
      <c r="I6" s="40"/>
      <c r="J6" s="44"/>
      <c r="K6" s="221">
        <f>'Step 6 Service-Support'!O6</f>
        <v>0</v>
      </c>
      <c r="L6" s="221">
        <f>'Step 6 Service-Support'!P6</f>
        <v>0</v>
      </c>
      <c r="M6" s="50"/>
      <c r="N6" s="1615"/>
      <c r="O6" s="1615"/>
      <c r="P6" s="1615"/>
      <c r="Q6" s="1615"/>
      <c r="R6" s="221">
        <f t="shared" ref="R6:R12" si="0">SUM(B6:Q6)</f>
        <v>0</v>
      </c>
      <c r="S6" s="161"/>
      <c r="T6" s="40">
        <v>-626137</v>
      </c>
      <c r="U6" s="40">
        <v>-626137</v>
      </c>
      <c r="V6" s="40">
        <v>-638033.60299999989</v>
      </c>
      <c r="W6" s="12"/>
      <c r="X6" s="12"/>
      <c r="Y6" s="12"/>
      <c r="Z6" s="12">
        <f t="shared" ref="Z6:Z12" si="1">SUM(B6,C6,D6,G6,N6,O6,P6,Q6)</f>
        <v>0</v>
      </c>
      <c r="AB6" s="12">
        <f>SUM(K6:L6)</f>
        <v>0</v>
      </c>
    </row>
    <row r="7" spans="1:28">
      <c r="A7" s="171" t="s">
        <v>477</v>
      </c>
      <c r="B7" s="1897">
        <f>'Step 6 Service-Support'!B7</f>
        <v>1904526.7118105898</v>
      </c>
      <c r="C7" s="1898">
        <f>'Step 6 Service-Support'!C7</f>
        <v>3222680</v>
      </c>
      <c r="D7" s="40">
        <f>'Step 6 Service-Support'!D7</f>
        <v>0</v>
      </c>
      <c r="E7" s="40">
        <f>'Step 6 Service-Support'!E7</f>
        <v>0</v>
      </c>
      <c r="F7" s="50"/>
      <c r="G7" s="1897">
        <f>'Step 6 Service-Support'!G7+'Step 6 Service-Support'!H7+'Step 6 Service-Support'!I7+'Step 6 Service-Support'!J7</f>
        <v>-1904526.7118105898</v>
      </c>
      <c r="H7" s="44"/>
      <c r="I7" s="40"/>
      <c r="J7" s="44"/>
      <c r="K7" s="1897">
        <f>'Step 6 Service-Support'!O7</f>
        <v>-270100</v>
      </c>
      <c r="L7" s="1897">
        <f>'Step 6 Service-Support'!P7</f>
        <v>6843000</v>
      </c>
      <c r="M7" s="50"/>
      <c r="N7" s="1615"/>
      <c r="O7" s="1615">
        <v>0</v>
      </c>
      <c r="P7" s="1615"/>
      <c r="Q7" s="1615"/>
      <c r="R7" s="1900">
        <f t="shared" si="0"/>
        <v>9795580</v>
      </c>
      <c r="S7" s="161"/>
      <c r="T7" s="40">
        <v>7259180</v>
      </c>
      <c r="U7" s="40">
        <v>7259180</v>
      </c>
      <c r="V7" s="40">
        <v>7397104.419999999</v>
      </c>
      <c r="W7" s="12"/>
      <c r="Z7" s="12">
        <f t="shared" si="1"/>
        <v>3222680</v>
      </c>
      <c r="AB7" s="12">
        <f t="shared" ref="AB7:AB12" si="2">SUM(K7:L7)</f>
        <v>6572900</v>
      </c>
    </row>
    <row r="8" spans="1:28">
      <c r="A8" s="171" t="s">
        <v>697</v>
      </c>
      <c r="B8" s="40">
        <f>'Step 6 Service-Support'!B8</f>
        <v>0</v>
      </c>
      <c r="C8" s="1615">
        <f>'Step 6 Service-Support'!C8</f>
        <v>-1785271.468474621</v>
      </c>
      <c r="D8" s="40">
        <f>'Step 6 Service-Support'!D8</f>
        <v>0</v>
      </c>
      <c r="E8" s="40">
        <f>'Step 6 Service-Support'!E8</f>
        <v>0</v>
      </c>
      <c r="F8" s="50"/>
      <c r="G8" s="1615">
        <f>'Step 6 Service-Support'!G8+'Step 6 Service-Support'!H8+'Step 6 Service-Support'!I8+'Step 6 Service-Support'!J8</f>
        <v>-1628095.1100382209</v>
      </c>
      <c r="H8" s="44"/>
      <c r="I8" s="40"/>
      <c r="J8" s="44"/>
      <c r="K8" s="221">
        <f>'Step 6 Service-Support'!O8</f>
        <v>0</v>
      </c>
      <c r="L8" s="221">
        <f>'Step 6 Service-Support'!P8</f>
        <v>0</v>
      </c>
      <c r="M8" s="50"/>
      <c r="N8" s="1615">
        <f>-SUM(N16:N34)</f>
        <v>-303693.36904671788</v>
      </c>
      <c r="O8" s="1615">
        <f>-SUM(O15:O34)-SUM(O39:O57)-O7</f>
        <v>-2285000</v>
      </c>
      <c r="P8" s="1615">
        <f>-SUM(P15:P34)-SUM(P39:P57)</f>
        <v>-695750</v>
      </c>
      <c r="Q8" s="1615">
        <f>-SUM(Q35,Q58)</f>
        <v>4504592.9344792739</v>
      </c>
      <c r="R8" s="221">
        <f t="shared" si="0"/>
        <v>-2193217.0130802859</v>
      </c>
      <c r="S8" s="161"/>
      <c r="T8" s="40">
        <v>-10659942.763277592</v>
      </c>
      <c r="U8" s="40">
        <v>-10659942.763277592</v>
      </c>
      <c r="V8" s="40">
        <v>-10862481.675779866</v>
      </c>
      <c r="W8" s="12"/>
      <c r="Y8" s="12"/>
      <c r="Z8" s="12">
        <f t="shared" si="1"/>
        <v>-2193217.0130802859</v>
      </c>
      <c r="AB8" s="12">
        <f t="shared" si="2"/>
        <v>0</v>
      </c>
    </row>
    <row r="9" spans="1:28">
      <c r="A9" s="171" t="s">
        <v>714</v>
      </c>
      <c r="B9" s="40">
        <f>'Step 6 Service-Support'!B9</f>
        <v>0</v>
      </c>
      <c r="C9" s="40">
        <f>'Step 6 Service-Support'!C9</f>
        <v>0</v>
      </c>
      <c r="D9" s="40">
        <f>'Step 6 Service-Support'!D9</f>
        <v>0</v>
      </c>
      <c r="E9" s="40">
        <f>'Step 6 Service-Support'!E9</f>
        <v>0</v>
      </c>
      <c r="F9" s="50"/>
      <c r="G9" s="40"/>
      <c r="H9" s="44"/>
      <c r="I9" s="40"/>
      <c r="J9" s="44"/>
      <c r="K9" s="40">
        <f>'Step 6 Service-Support'!O9</f>
        <v>0</v>
      </c>
      <c r="L9" s="1898">
        <f>'Step 6 Service-Support'!P9</f>
        <v>13000000</v>
      </c>
      <c r="M9" s="50"/>
      <c r="N9" s="40"/>
      <c r="O9" s="40"/>
      <c r="P9" s="40"/>
      <c r="Q9" s="221"/>
      <c r="R9" s="1900">
        <f t="shared" si="0"/>
        <v>13000000</v>
      </c>
      <c r="S9" s="161"/>
      <c r="T9" s="40">
        <v>10000000</v>
      </c>
      <c r="U9" s="40">
        <v>10000000</v>
      </c>
      <c r="V9" s="40">
        <v>10189999.999999998</v>
      </c>
      <c r="W9" s="12"/>
      <c r="Y9" s="12"/>
      <c r="Z9" s="12">
        <f t="shared" si="1"/>
        <v>0</v>
      </c>
      <c r="AB9" s="12">
        <f t="shared" si="2"/>
        <v>13000000</v>
      </c>
    </row>
    <row r="10" spans="1:28">
      <c r="A10" s="171" t="s">
        <v>471</v>
      </c>
      <c r="B10" s="1898">
        <f>'Step 6 Service-Support'!B10</f>
        <v>17319704</v>
      </c>
      <c r="C10" s="40">
        <f>'Step 6 Service-Support'!C10</f>
        <v>0</v>
      </c>
      <c r="D10" s="40">
        <f>'Step 6 Service-Support'!D10</f>
        <v>0</v>
      </c>
      <c r="E10" s="1897">
        <f>'Step 6 Service-Support'!E10</f>
        <v>93096</v>
      </c>
      <c r="F10" s="50"/>
      <c r="G10" s="40"/>
      <c r="H10" s="44"/>
      <c r="I10" s="40"/>
      <c r="J10" s="44"/>
      <c r="K10" s="40">
        <f>'Step 6 Service-Support'!O10</f>
        <v>0</v>
      </c>
      <c r="L10" s="1898">
        <f>'Step 6 Service-Support'!P10</f>
        <v>2324298</v>
      </c>
      <c r="M10" s="50"/>
      <c r="N10" s="40"/>
      <c r="O10" s="40"/>
      <c r="P10" s="40"/>
      <c r="Q10" s="221"/>
      <c r="R10" s="1900">
        <f t="shared" si="0"/>
        <v>19737098</v>
      </c>
      <c r="S10" s="161"/>
      <c r="T10" s="40">
        <v>18178922</v>
      </c>
      <c r="U10" s="40">
        <v>18178922</v>
      </c>
      <c r="V10" s="40">
        <v>18524321.517999999</v>
      </c>
      <c r="W10" s="12"/>
      <c r="Z10" s="12">
        <f t="shared" si="1"/>
        <v>17319704</v>
      </c>
      <c r="AB10" s="12">
        <f t="shared" si="2"/>
        <v>2324298</v>
      </c>
    </row>
    <row r="11" spans="1:28">
      <c r="A11" s="171" t="s">
        <v>472</v>
      </c>
      <c r="B11" s="1898">
        <f>'Step 6 Service-Support'!B11</f>
        <v>4500000</v>
      </c>
      <c r="C11" s="40">
        <f>'Step 6 Service-Support'!C11</f>
        <v>0</v>
      </c>
      <c r="D11" s="40">
        <f>'Step 6 Service-Support'!D11</f>
        <v>0</v>
      </c>
      <c r="E11" s="40">
        <f>'Step 6 Service-Support'!E11</f>
        <v>0</v>
      </c>
      <c r="F11" s="50"/>
      <c r="G11" s="40">
        <f>'Step 6 Service-Support'!G11+'Step 6 Service-Support'!H11+'Step 6 Service-Support'!I11+'Step 6 Service-Support'!J11</f>
        <v>0</v>
      </c>
      <c r="H11" s="44"/>
      <c r="I11" s="40"/>
      <c r="J11" s="44"/>
      <c r="K11" s="40">
        <f>'Step 6 Service-Support'!O11</f>
        <v>0</v>
      </c>
      <c r="L11" s="40">
        <f>'Step 6 Service-Support'!P11</f>
        <v>0</v>
      </c>
      <c r="M11" s="50"/>
      <c r="N11" s="40"/>
      <c r="O11" s="40"/>
      <c r="P11" s="40"/>
      <c r="Q11" s="221"/>
      <c r="R11" s="1900">
        <f t="shared" si="0"/>
        <v>4500000</v>
      </c>
      <c r="S11" s="161"/>
      <c r="T11" s="40">
        <v>4150000</v>
      </c>
      <c r="U11" s="40">
        <v>4150000</v>
      </c>
      <c r="V11" s="40">
        <v>4228850</v>
      </c>
      <c r="W11" s="12"/>
      <c r="Z11" s="12">
        <f t="shared" si="1"/>
        <v>4500000</v>
      </c>
      <c r="AB11" s="12">
        <f t="shared" si="2"/>
        <v>0</v>
      </c>
    </row>
    <row r="12" spans="1:28">
      <c r="A12" s="171" t="s">
        <v>473</v>
      </c>
      <c r="B12" s="1898">
        <f>'Step 6 Service-Support'!B12</f>
        <v>21461646.77</v>
      </c>
      <c r="C12" s="40">
        <f>'Step 6 Service-Support'!C12</f>
        <v>0</v>
      </c>
      <c r="D12" s="40">
        <f>'Step 6 Service-Support'!D12</f>
        <v>0</v>
      </c>
      <c r="E12" s="40">
        <f>'Step 6 Service-Support'!E12</f>
        <v>0</v>
      </c>
      <c r="F12" s="50"/>
      <c r="G12" s="40">
        <f>'Step 6 Service-Support'!G12+'Step 6 Service-Support'!H12+'Step 6 Service-Support'!I12+'Step 6 Service-Support'!J12</f>
        <v>0</v>
      </c>
      <c r="H12" s="44"/>
      <c r="I12" s="40"/>
      <c r="J12" s="44"/>
      <c r="K12" s="40">
        <f>'Step 6 Service-Support'!O12</f>
        <v>0</v>
      </c>
      <c r="L12" s="1898">
        <f>'Step 6 Service-Support'!P12</f>
        <v>3600000</v>
      </c>
      <c r="M12" s="50"/>
      <c r="N12" s="40"/>
      <c r="O12" s="40"/>
      <c r="P12" s="40"/>
      <c r="Q12" s="221"/>
      <c r="R12" s="1898">
        <f t="shared" si="0"/>
        <v>25061646.77</v>
      </c>
      <c r="S12" s="161"/>
      <c r="T12" s="40">
        <v>26139223</v>
      </c>
      <c r="U12" s="40">
        <v>26139223</v>
      </c>
      <c r="V12" s="40">
        <v>26635868.236999996</v>
      </c>
      <c r="W12" s="12"/>
      <c r="Z12" s="12">
        <f t="shared" si="1"/>
        <v>21461646.77</v>
      </c>
      <c r="AB12" s="12">
        <f t="shared" si="2"/>
        <v>3600000</v>
      </c>
    </row>
    <row r="13" spans="1:28">
      <c r="A13" s="162"/>
      <c r="B13" s="44"/>
      <c r="C13" s="44"/>
      <c r="D13" s="44"/>
      <c r="E13" s="44"/>
      <c r="F13" s="50"/>
      <c r="G13" s="44"/>
      <c r="H13" s="44"/>
      <c r="I13" s="44"/>
      <c r="J13" s="44"/>
      <c r="K13" s="44"/>
      <c r="L13" s="44"/>
      <c r="M13" s="44"/>
      <c r="N13" s="44"/>
      <c r="O13" s="44"/>
      <c r="P13" s="44"/>
      <c r="Q13" s="44"/>
      <c r="R13" s="44"/>
      <c r="S13" s="162"/>
      <c r="T13" s="44"/>
      <c r="U13" s="1838"/>
      <c r="V13" s="44"/>
      <c r="W13" s="12"/>
    </row>
    <row r="14" spans="1:28">
      <c r="A14" s="47" t="s">
        <v>71</v>
      </c>
      <c r="B14" s="33"/>
      <c r="C14" s="33"/>
      <c r="D14" s="33"/>
      <c r="E14" s="33"/>
      <c r="F14" s="49"/>
      <c r="G14" s="33"/>
      <c r="H14" s="45"/>
      <c r="I14" s="33"/>
      <c r="J14" s="45"/>
      <c r="K14" s="33"/>
      <c r="L14" s="33"/>
      <c r="M14" s="49"/>
      <c r="N14" s="33"/>
      <c r="O14" s="33"/>
      <c r="P14" s="1899"/>
      <c r="Q14" s="1824"/>
      <c r="R14" s="33"/>
      <c r="S14" s="162"/>
      <c r="U14" s="33"/>
      <c r="V14" s="33"/>
      <c r="W14" s="12"/>
    </row>
    <row r="15" spans="1:28">
      <c r="A15" s="1280" t="s">
        <v>1316</v>
      </c>
      <c r="B15" s="44">
        <f>'Step 6 Service-Support'!B15</f>
        <v>0</v>
      </c>
      <c r="C15" s="44">
        <f>'Step 6 Service-Support'!C15</f>
        <v>0</v>
      </c>
      <c r="D15" s="44">
        <f>'Step 6 Service-Support'!D15</f>
        <v>0</v>
      </c>
      <c r="E15" s="44">
        <f>'Step 6 Service-Support'!E15</f>
        <v>0</v>
      </c>
      <c r="F15" s="49"/>
      <c r="G15" s="373">
        <f>SUM('Step 6 Service-Support'!G15:J15)</f>
        <v>0</v>
      </c>
      <c r="H15" s="45"/>
      <c r="I15" s="373">
        <f>SUM('Step 6 Service-Support'!L15)</f>
        <v>0</v>
      </c>
      <c r="J15" s="45"/>
      <c r="K15" s="373">
        <f>'Step 6 Service-Support'!O15</f>
        <v>0</v>
      </c>
      <c r="L15" s="373">
        <f>'Step 6 Service-Support'!P15</f>
        <v>0</v>
      </c>
      <c r="M15" s="49"/>
      <c r="N15" s="373"/>
      <c r="O15" s="373"/>
      <c r="P15" s="373"/>
      <c r="Q15" s="373"/>
      <c r="R15" s="373">
        <f t="shared" ref="R15:R34" si="3">SUM(B15:Q15)</f>
        <v>0</v>
      </c>
      <c r="S15" s="162"/>
      <c r="T15" s="1824"/>
      <c r="U15" s="33"/>
      <c r="V15" s="1824"/>
      <c r="W15" s="12"/>
    </row>
    <row r="16" spans="1:28">
      <c r="A16" s="173" t="s">
        <v>72</v>
      </c>
      <c r="B16" s="40">
        <f>'Step 6 Service-Support'!B16</f>
        <v>0</v>
      </c>
      <c r="C16" s="40">
        <f>'Step 6 Service-Support'!C16</f>
        <v>0</v>
      </c>
      <c r="D16" s="40">
        <f>'Step 6 Service-Support'!D16</f>
        <v>0</v>
      </c>
      <c r="E16" s="40">
        <f>'Step 6 Service-Support'!E16</f>
        <v>0</v>
      </c>
      <c r="F16" s="50"/>
      <c r="G16" s="372">
        <f>SUM('Step 6 Service-Support'!G16:J16)</f>
        <v>0</v>
      </c>
      <c r="H16" s="44"/>
      <c r="I16" s="372">
        <f>SUM('Step 6 Service-Support'!L16)</f>
        <v>21402274.354946967</v>
      </c>
      <c r="J16" s="44"/>
      <c r="K16" s="372">
        <f>'Step 6 Service-Support'!O16</f>
        <v>-114722.94</v>
      </c>
      <c r="L16" s="372">
        <f>'Step 6 Service-Support'!P16</f>
        <v>3450310</v>
      </c>
      <c r="M16" s="50"/>
      <c r="N16" s="40">
        <f>IF(SUM(B16:L16)&lt;'FY19 Floor Calculations'!T17,'FY19 Floor Calculations'!U17-SUM('Step 7 Final Adjustments'!B16:L16),0)</f>
        <v>0</v>
      </c>
      <c r="O16" s="40"/>
      <c r="P16" s="40"/>
      <c r="Q16" s="1893">
        <f t="shared" ref="Q16:Q34" si="4">-V$3*SUM(B16,C16,D16,E16,G16,I16,K16,L16)</f>
        <v>-213890.87658731313</v>
      </c>
      <c r="R16" s="372">
        <f t="shared" si="3"/>
        <v>24523970.538359653</v>
      </c>
      <c r="S16" s="162"/>
      <c r="T16" s="40">
        <v>23993241</v>
      </c>
      <c r="U16" s="40">
        <v>24480739.932211161</v>
      </c>
      <c r="V16" s="40">
        <v>24191889.191469997</v>
      </c>
      <c r="W16" s="12"/>
      <c r="X16" s="12"/>
      <c r="Z16" s="12">
        <f t="shared" ref="Z16:Z34" si="5">SUM(B16,C16,D16,G16,N16,O16,P16,Q16)</f>
        <v>-213890.87658731313</v>
      </c>
    </row>
    <row r="17" spans="1:26">
      <c r="A17" s="49" t="s">
        <v>73</v>
      </c>
      <c r="B17" s="44">
        <f>'Step 6 Service-Support'!B17</f>
        <v>0</v>
      </c>
      <c r="C17" s="44">
        <f>'Step 6 Service-Support'!C17</f>
        <v>0</v>
      </c>
      <c r="D17" s="44">
        <f>'Step 6 Service-Support'!D17</f>
        <v>0</v>
      </c>
      <c r="E17" s="44">
        <f>'Step 6 Service-Support'!E17</f>
        <v>0</v>
      </c>
      <c r="F17" s="50"/>
      <c r="G17" s="373">
        <f>SUM('Step 6 Service-Support'!G17:J17)</f>
        <v>0</v>
      </c>
      <c r="H17" s="44"/>
      <c r="I17" s="373">
        <f>SUM('Step 6 Service-Support'!L17)</f>
        <v>20283312.929002929</v>
      </c>
      <c r="J17" s="44"/>
      <c r="K17" s="373">
        <f>'Step 6 Service-Support'!O17</f>
        <v>-40855.178</v>
      </c>
      <c r="L17" s="373">
        <f>'Step 6 Service-Support'!P17</f>
        <v>3083462.1521200002</v>
      </c>
      <c r="M17" s="50"/>
      <c r="N17" s="44">
        <f>IF(SUM(B17:L17)&lt;'FY19 Floor Calculations'!T18,'FY19 Floor Calculations'!U18-SUM('Step 7 Final Adjustments'!B17:L17),0)</f>
        <v>0</v>
      </c>
      <c r="O17" s="44"/>
      <c r="P17" s="44">
        <v>-600000</v>
      </c>
      <c r="Q17" s="44">
        <f t="shared" si="4"/>
        <v>-201682.812091019</v>
      </c>
      <c r="R17" s="373">
        <f t="shared" si="3"/>
        <v>22524237.091031913</v>
      </c>
      <c r="S17" s="162"/>
      <c r="T17" s="44">
        <v>21443844</v>
      </c>
      <c r="U17" s="44">
        <v>22126263.467779655</v>
      </c>
      <c r="V17" s="44">
        <v>21638342.359895997</v>
      </c>
      <c r="W17" s="12"/>
      <c r="Z17" s="12">
        <f t="shared" si="5"/>
        <v>-801682.812091019</v>
      </c>
    </row>
    <row r="18" spans="1:26">
      <c r="A18" s="172" t="s">
        <v>74</v>
      </c>
      <c r="B18" s="44">
        <f>'Step 6 Service-Support'!B18</f>
        <v>0</v>
      </c>
      <c r="C18" s="44">
        <f>'Step 6 Service-Support'!C18</f>
        <v>0</v>
      </c>
      <c r="D18" s="44">
        <f>'Step 6 Service-Support'!D18</f>
        <v>0</v>
      </c>
      <c r="E18" s="44">
        <f>'Step 6 Service-Support'!E18</f>
        <v>0</v>
      </c>
      <c r="F18" s="50"/>
      <c r="G18" s="373">
        <f>SUM('Step 6 Service-Support'!G18:J18)</f>
        <v>0</v>
      </c>
      <c r="H18" s="44"/>
      <c r="I18" s="373">
        <f>SUM('Step 6 Service-Support'!L18)</f>
        <v>48192990.868868649</v>
      </c>
      <c r="J18" s="44"/>
      <c r="K18" s="373">
        <f>'Step 6 Service-Support'!O18</f>
        <v>-646197.82200000004</v>
      </c>
      <c r="L18" s="373">
        <f>'Step 6 Service-Support'!P18</f>
        <v>20864384.166999999</v>
      </c>
      <c r="M18" s="50"/>
      <c r="N18" s="44">
        <f>IF(SUM(B18:L18)&lt;'FY19 Floor Calculations'!T19,'FY19 Floor Calculations'!U19-SUM('Step 7 Final Adjustments'!B18:L18),0)</f>
        <v>0</v>
      </c>
      <c r="O18" s="44"/>
      <c r="P18" s="44">
        <v>220000</v>
      </c>
      <c r="Q18" s="44">
        <f t="shared" si="4"/>
        <v>-591503.30003074592</v>
      </c>
      <c r="R18" s="373">
        <f t="shared" si="3"/>
        <v>68039673.913837895</v>
      </c>
      <c r="S18" s="162"/>
      <c r="T18" s="44">
        <v>67030706</v>
      </c>
      <c r="U18" s="44">
        <v>68341426.372260988</v>
      </c>
      <c r="V18" s="44">
        <v>68625207.251948655</v>
      </c>
      <c r="W18" s="12"/>
      <c r="Z18" s="12">
        <f t="shared" si="5"/>
        <v>-371503.30003074592</v>
      </c>
    </row>
    <row r="19" spans="1:26">
      <c r="A19" s="173" t="s">
        <v>75</v>
      </c>
      <c r="B19" s="40">
        <f>'Step 6 Service-Support'!B19</f>
        <v>0</v>
      </c>
      <c r="C19" s="40">
        <f>'Step 6 Service-Support'!C19</f>
        <v>0</v>
      </c>
      <c r="D19" s="40">
        <f>'Step 6 Service-Support'!D19</f>
        <v>0</v>
      </c>
      <c r="E19" s="40">
        <f>'Step 6 Service-Support'!E19</f>
        <v>737700</v>
      </c>
      <c r="F19" s="50"/>
      <c r="G19" s="372">
        <f>SUM('Step 6 Service-Support'!G19:J19)</f>
        <v>0</v>
      </c>
      <c r="H19" s="44"/>
      <c r="I19" s="372">
        <f>SUM('Step 6 Service-Support'!L19)</f>
        <v>5566714.5894065304</v>
      </c>
      <c r="J19" s="44"/>
      <c r="K19" s="372">
        <f>'Step 6 Service-Support'!O19</f>
        <v>-190577.89799999999</v>
      </c>
      <c r="L19" s="372">
        <f>'Step 6 Service-Support'!P19</f>
        <v>3115689.2800000003</v>
      </c>
      <c r="M19" s="50"/>
      <c r="N19" s="40">
        <f>IF(SUM(B19:L19)&lt;'FY19 Floor Calculations'!T20,'FY19 Floor Calculations'!U20-SUM('Step 7 Final Adjustments'!B19:L19),0)</f>
        <v>0</v>
      </c>
      <c r="O19" s="40"/>
      <c r="P19" s="40">
        <v>100000</v>
      </c>
      <c r="Q19" s="40">
        <f t="shared" si="4"/>
        <v>-79801.215125117058</v>
      </c>
      <c r="R19" s="372">
        <f t="shared" si="3"/>
        <v>9249724.7562814131</v>
      </c>
      <c r="S19" s="162"/>
      <c r="T19" s="40">
        <v>9423979</v>
      </c>
      <c r="U19" s="40">
        <v>9557025.0345183667</v>
      </c>
      <c r="V19" s="40">
        <v>9325845.7601139992</v>
      </c>
      <c r="W19" s="12"/>
      <c r="Z19" s="12">
        <f t="shared" si="5"/>
        <v>20198.784874882942</v>
      </c>
    </row>
    <row r="20" spans="1:26" ht="16.5" thickBot="1">
      <c r="A20" s="49" t="s">
        <v>76</v>
      </c>
      <c r="B20" s="44">
        <f>'Step 6 Service-Support'!B20</f>
        <v>0</v>
      </c>
      <c r="C20" s="44">
        <f>'Step 6 Service-Support'!C20</f>
        <v>850000</v>
      </c>
      <c r="D20" s="44">
        <f>'Step 6 Service-Support'!D20</f>
        <v>0</v>
      </c>
      <c r="E20" s="44">
        <f>'Step 6 Service-Support'!E20</f>
        <v>0</v>
      </c>
      <c r="F20" s="50"/>
      <c r="G20" s="373">
        <f>SUM('Step 6 Service-Support'!G20:J20)</f>
        <v>0</v>
      </c>
      <c r="H20" s="44"/>
      <c r="I20" s="373">
        <f>SUM('Step 6 Service-Support'!L20)</f>
        <v>16384842.476953281</v>
      </c>
      <c r="J20" s="44"/>
      <c r="K20" s="373">
        <f>'Step 6 Service-Support'!O20</f>
        <v>-102703.046</v>
      </c>
      <c r="L20" s="373">
        <f>'Step 6 Service-Support'!P20</f>
        <v>2532465.1984000001</v>
      </c>
      <c r="M20" s="50"/>
      <c r="N20" s="44">
        <f>IF(SUM(B20:L20)&lt;'FY19 Floor Calculations'!T21,'FY19 Floor Calculations'!U21-SUM('Step 7 Final Adjustments'!B20:L20),0)</f>
        <v>303693.36904671788</v>
      </c>
      <c r="O20" s="1279"/>
      <c r="P20" s="44">
        <v>695750</v>
      </c>
      <c r="Q20" s="44">
        <f t="shared" si="4"/>
        <v>-170025.99583543374</v>
      </c>
      <c r="R20" s="373">
        <f t="shared" si="3"/>
        <v>20494022.002564568</v>
      </c>
      <c r="S20" s="162"/>
      <c r="T20" s="44">
        <v>20386034</v>
      </c>
      <c r="U20" s="44">
        <v>20893706.311960761</v>
      </c>
      <c r="V20" s="44">
        <v>21000026.351273999</v>
      </c>
      <c r="W20" s="12"/>
      <c r="Z20" s="12">
        <f t="shared" si="5"/>
        <v>1679417.3732112842</v>
      </c>
    </row>
    <row r="21" spans="1:26">
      <c r="A21" s="172" t="s">
        <v>77</v>
      </c>
      <c r="B21" s="44">
        <f>'Step 6 Service-Support'!B21</f>
        <v>0</v>
      </c>
      <c r="C21" s="44">
        <f>'Step 6 Service-Support'!C21</f>
        <v>0</v>
      </c>
      <c r="D21" s="44">
        <f>'Step 6 Service-Support'!D21</f>
        <v>0</v>
      </c>
      <c r="E21" s="44">
        <f>'Step 6 Service-Support'!E21</f>
        <v>245900</v>
      </c>
      <c r="F21" s="50"/>
      <c r="G21" s="373">
        <f>SUM('Step 6 Service-Support'!G21:J21)</f>
        <v>0</v>
      </c>
      <c r="H21" s="44"/>
      <c r="I21" s="373">
        <f>SUM('Step 6 Service-Support'!L21)</f>
        <v>5203260.0972967809</v>
      </c>
      <c r="J21" s="44"/>
      <c r="K21" s="373">
        <f>'Step 6 Service-Support'!O21</f>
        <v>-7400</v>
      </c>
      <c r="L21" s="373">
        <f>'Step 6 Service-Support'!P21</f>
        <v>120000</v>
      </c>
      <c r="M21" s="50"/>
      <c r="N21" s="44">
        <f>IF(SUM(B21:L21)&lt;'FY19 Floor Calculations'!T22,'FY19 Floor Calculations'!U22-SUM('Step 7 Final Adjustments'!B21:L21),0)</f>
        <v>0</v>
      </c>
      <c r="O21" s="44">
        <v>385000</v>
      </c>
      <c r="P21" s="44"/>
      <c r="Q21" s="44">
        <f t="shared" si="4"/>
        <v>-48088.625068469722</v>
      </c>
      <c r="R21" s="373">
        <f t="shared" si="3"/>
        <v>5898671.472228311</v>
      </c>
      <c r="S21" s="162"/>
      <c r="T21" s="44">
        <v>5442006</v>
      </c>
      <c r="U21" s="44">
        <v>5578909.6815320067</v>
      </c>
      <c r="V21" s="44">
        <v>5557041.5939999996</v>
      </c>
      <c r="W21" s="12"/>
      <c r="X21" s="263" t="s">
        <v>1807</v>
      </c>
      <c r="Y21" s="391"/>
      <c r="Z21" s="12">
        <f t="shared" si="5"/>
        <v>336911.37493153027</v>
      </c>
    </row>
    <row r="22" spans="1:26">
      <c r="A22" s="173" t="s">
        <v>78</v>
      </c>
      <c r="B22" s="40">
        <f>'Step 6 Service-Support'!B22</f>
        <v>0</v>
      </c>
      <c r="C22" s="40">
        <f>'Step 6 Service-Support'!C22</f>
        <v>0</v>
      </c>
      <c r="D22" s="40">
        <f>'Step 6 Service-Support'!D22</f>
        <v>0</v>
      </c>
      <c r="E22" s="40">
        <f>'Step 6 Service-Support'!E22</f>
        <v>0</v>
      </c>
      <c r="F22" s="50"/>
      <c r="G22" s="372">
        <f>SUM('Step 6 Service-Support'!G22:J22)</f>
        <v>0</v>
      </c>
      <c r="H22" s="44"/>
      <c r="I22" s="372">
        <f>SUM('Step 6 Service-Support'!L22)</f>
        <v>43078927.073671438</v>
      </c>
      <c r="J22" s="44"/>
      <c r="K22" s="372">
        <f>'Step 6 Service-Support'!O22</f>
        <v>-128220.466</v>
      </c>
      <c r="L22" s="372">
        <f>'Step 6 Service-Support'!P22</f>
        <v>1812709</v>
      </c>
      <c r="M22" s="50"/>
      <c r="N22" s="40">
        <f>IF(SUM(B22:L22)&lt;'FY19 Floor Calculations'!T23,'FY19 Floor Calculations'!U23-SUM('Step 7 Final Adjustments'!B22:L22),0)</f>
        <v>0</v>
      </c>
      <c r="O22" s="40">
        <v>0</v>
      </c>
      <c r="P22" s="221">
        <v>200000</v>
      </c>
      <c r="Q22" s="40">
        <f t="shared" si="4"/>
        <v>-387037.74925273121</v>
      </c>
      <c r="R22" s="372">
        <f t="shared" si="3"/>
        <v>44576377.858418711</v>
      </c>
      <c r="S22" s="162"/>
      <c r="T22" s="40">
        <v>44094814</v>
      </c>
      <c r="U22" s="40">
        <v>45207540.581306458</v>
      </c>
      <c r="V22" s="40">
        <v>44947789.883853994</v>
      </c>
      <c r="W22" s="12"/>
      <c r="X22" s="265" t="s">
        <v>1213</v>
      </c>
      <c r="Y22" s="392" t="s">
        <v>1812</v>
      </c>
      <c r="Z22" s="12">
        <f t="shared" si="5"/>
        <v>-187037.74925273121</v>
      </c>
    </row>
    <row r="23" spans="1:26">
      <c r="A23" s="172" t="s">
        <v>79</v>
      </c>
      <c r="B23" s="44">
        <f>'Step 6 Service-Support'!B23</f>
        <v>0</v>
      </c>
      <c r="C23" s="44">
        <f>'Step 6 Service-Support'!C23</f>
        <v>10875</v>
      </c>
      <c r="D23" s="44">
        <f>'Step 6 Service-Support'!D23</f>
        <v>0</v>
      </c>
      <c r="E23" s="44">
        <f>'Step 6 Service-Support'!E23</f>
        <v>2557360</v>
      </c>
      <c r="F23" s="50"/>
      <c r="G23" s="373">
        <f>SUM('Step 6 Service-Support'!G23:J23)</f>
        <v>0</v>
      </c>
      <c r="H23" s="44"/>
      <c r="I23" s="373">
        <f>SUM('Step 6 Service-Support'!L23)</f>
        <v>8417663.6895338055</v>
      </c>
      <c r="J23" s="44"/>
      <c r="K23" s="373">
        <f>'Step 6 Service-Support'!O23</f>
        <v>41103.077999999994</v>
      </c>
      <c r="L23" s="373">
        <f>'Step 6 Service-Support'!P23</f>
        <v>6444553</v>
      </c>
      <c r="M23" s="50"/>
      <c r="N23" s="44">
        <f>IF(SUM(B23:L23)&lt;'FY19 Floor Calculations'!T24,'FY19 Floor Calculations'!U24-SUM('Step 7 Final Adjustments'!B23:L23),0)</f>
        <v>0</v>
      </c>
      <c r="O23" s="44"/>
      <c r="P23" s="44"/>
      <c r="Q23" s="44">
        <f t="shared" si="4"/>
        <v>-151064.23719849539</v>
      </c>
      <c r="R23" s="373">
        <f t="shared" si="3"/>
        <v>17320490.530335311</v>
      </c>
      <c r="S23" s="162"/>
      <c r="T23" s="44">
        <v>18750980</v>
      </c>
      <c r="U23" s="44">
        <v>19258256.585512511</v>
      </c>
      <c r="V23" s="44">
        <v>17485283.694862381</v>
      </c>
      <c r="W23" s="12"/>
      <c r="X23" s="265" t="s">
        <v>1588</v>
      </c>
      <c r="Y23" s="392" t="s">
        <v>1812</v>
      </c>
      <c r="Z23" s="12">
        <f t="shared" si="5"/>
        <v>-140189.23719849539</v>
      </c>
    </row>
    <row r="24" spans="1:26">
      <c r="A24" s="172" t="s">
        <v>80</v>
      </c>
      <c r="B24" s="50">
        <f>'Step 6 Service-Support'!B24</f>
        <v>0</v>
      </c>
      <c r="C24" s="50">
        <f>'Step 6 Service-Support'!C24</f>
        <v>0</v>
      </c>
      <c r="D24" s="50">
        <f>'Step 6 Service-Support'!D24</f>
        <v>0</v>
      </c>
      <c r="E24" s="50">
        <f>'Step 6 Service-Support'!E24</f>
        <v>2881948</v>
      </c>
      <c r="F24" s="50"/>
      <c r="G24" s="374">
        <f>SUM('Step 6 Service-Support'!G24:J24)</f>
        <v>0</v>
      </c>
      <c r="H24" s="50"/>
      <c r="I24" s="374">
        <f>SUM('Step 6 Service-Support'!L24)</f>
        <v>3942909.4588813232</v>
      </c>
      <c r="J24" s="50"/>
      <c r="K24" s="374">
        <f>'Step 6 Service-Support'!O24</f>
        <v>-113642.39199999999</v>
      </c>
      <c r="L24" s="374">
        <f>'Step 6 Service-Support'!P24</f>
        <v>5926242.0006117597</v>
      </c>
      <c r="M24" s="50"/>
      <c r="N24" s="50">
        <f>IF(SUM(B24:L24)&lt;'FY19 Floor Calculations'!T25,'FY19 Floor Calculations'!U25-SUM('Step 7 Final Adjustments'!B24:L24),0)</f>
        <v>0</v>
      </c>
      <c r="O24" s="50"/>
      <c r="P24" s="50">
        <v>230000</v>
      </c>
      <c r="Q24" s="50">
        <f t="shared" si="4"/>
        <v>-109267.1967338057</v>
      </c>
      <c r="R24" s="374">
        <f t="shared" si="3"/>
        <v>12758189.870759277</v>
      </c>
      <c r="S24" s="162"/>
      <c r="T24" s="50">
        <v>12570093</v>
      </c>
      <c r="U24" s="50">
        <v>12966192.781347409</v>
      </c>
      <c r="V24" s="50">
        <v>12874024.34957776</v>
      </c>
      <c r="W24" s="12"/>
      <c r="X24" s="265" t="s">
        <v>1808</v>
      </c>
      <c r="Y24" s="392" t="s">
        <v>1813</v>
      </c>
      <c r="Z24" s="12">
        <f t="shared" si="5"/>
        <v>120732.8032661943</v>
      </c>
    </row>
    <row r="25" spans="1:26">
      <c r="A25" s="173" t="s">
        <v>81</v>
      </c>
      <c r="B25" s="40">
        <f>'Step 6 Service-Support'!B25</f>
        <v>0</v>
      </c>
      <c r="C25" s="40">
        <f>'Step 6 Service-Support'!C25</f>
        <v>750000</v>
      </c>
      <c r="D25" s="40">
        <f>'Step 6 Service-Support'!D25</f>
        <v>0</v>
      </c>
      <c r="E25" s="40">
        <f>'Step 6 Service-Support'!E25</f>
        <v>0</v>
      </c>
      <c r="F25" s="50"/>
      <c r="G25" s="372">
        <f>SUM('Step 6 Service-Support'!G25:J25)</f>
        <v>0</v>
      </c>
      <c r="H25" s="44"/>
      <c r="I25" s="372">
        <f>SUM('Step 6 Service-Support'!L25)</f>
        <v>40370323.774424858</v>
      </c>
      <c r="J25" s="44"/>
      <c r="K25" s="372">
        <f>'Step 6 Service-Support'!O25</f>
        <v>-118488.57799999999</v>
      </c>
      <c r="L25" s="372">
        <f>'Step 6 Service-Support'!P25</f>
        <v>2401197</v>
      </c>
      <c r="M25" s="50"/>
      <c r="N25" s="40">
        <f>IF(SUM(B25:L25)&lt;'FY19 Floor Calculations'!T26,'FY19 Floor Calculations'!U26-SUM('Step 7 Final Adjustments'!B25:L25),0)</f>
        <v>0</v>
      </c>
      <c r="O25" s="40">
        <v>1900000</v>
      </c>
      <c r="P25" s="40"/>
      <c r="Q25" s="40">
        <f t="shared" si="4"/>
        <v>-375275.47136437014</v>
      </c>
      <c r="R25" s="372">
        <f t="shared" si="3"/>
        <v>44927756.725060485</v>
      </c>
      <c r="S25" s="162"/>
      <c r="T25" s="40">
        <v>43664480</v>
      </c>
      <c r="U25" s="40">
        <v>44785642.345761977</v>
      </c>
      <c r="V25" s="40">
        <v>44469605.539981999</v>
      </c>
      <c r="W25" s="12"/>
      <c r="X25" s="265" t="s">
        <v>1809</v>
      </c>
      <c r="Y25" s="392" t="s">
        <v>1814</v>
      </c>
      <c r="Z25" s="12">
        <f t="shared" si="5"/>
        <v>2274724.5286356299</v>
      </c>
    </row>
    <row r="26" spans="1:26">
      <c r="A26" s="172" t="s">
        <v>82</v>
      </c>
      <c r="B26" s="50">
        <f>'Step 6 Service-Support'!B26</f>
        <v>0</v>
      </c>
      <c r="C26" s="50">
        <f>'Step 6 Service-Support'!C26</f>
        <v>199991</v>
      </c>
      <c r="D26" s="50">
        <f>'Step 6 Service-Support'!D26</f>
        <v>0</v>
      </c>
      <c r="E26" s="50">
        <f>'Step 6 Service-Support'!E26</f>
        <v>7091756</v>
      </c>
      <c r="F26" s="50"/>
      <c r="G26" s="374">
        <f>SUM('Step 6 Service-Support'!G26:J26)</f>
        <v>0</v>
      </c>
      <c r="H26" s="50"/>
      <c r="I26" s="374">
        <f>SUM('Step 6 Service-Support'!L26)</f>
        <v>2871875.9978878237</v>
      </c>
      <c r="J26" s="50"/>
      <c r="K26" s="374">
        <f>'Step 6 Service-Support'!O26</f>
        <v>-1077566.7620000001</v>
      </c>
      <c r="L26" s="374">
        <f>'Step 6 Service-Support'!P26</f>
        <v>18351078.989631999</v>
      </c>
      <c r="M26" s="50"/>
      <c r="N26" s="50">
        <f>IF(SUM(B26:L26)&lt;'FY19 Floor Calculations'!T27,'FY19 Floor Calculations'!U27-SUM('Step 7 Final Adjustments'!B26:L26),0)</f>
        <v>0</v>
      </c>
      <c r="O26" s="50"/>
      <c r="P26" s="50">
        <v>240000</v>
      </c>
      <c r="Q26" s="50">
        <f t="shared" si="4"/>
        <v>-237229.59741722941</v>
      </c>
      <c r="R26" s="374">
        <f t="shared" si="3"/>
        <v>27439905.628102593</v>
      </c>
      <c r="S26" s="162"/>
      <c r="T26" s="50">
        <v>26260862</v>
      </c>
      <c r="U26" s="50">
        <v>26749667.81411013</v>
      </c>
      <c r="V26" s="50">
        <v>27485967.105241999</v>
      </c>
      <c r="W26" s="12"/>
      <c r="X26" s="265" t="s">
        <v>1810</v>
      </c>
      <c r="Y26" s="392" t="s">
        <v>1815</v>
      </c>
      <c r="Z26" s="12">
        <f t="shared" si="5"/>
        <v>202761.40258277059</v>
      </c>
    </row>
    <row r="27" spans="1:26">
      <c r="A27" s="172" t="s">
        <v>83</v>
      </c>
      <c r="B27" s="44">
        <f>'Step 6 Service-Support'!B27</f>
        <v>0</v>
      </c>
      <c r="C27" s="44">
        <f>'Step 6 Service-Support'!C27</f>
        <v>0</v>
      </c>
      <c r="D27" s="44">
        <f>'Step 6 Service-Support'!D27</f>
        <v>0</v>
      </c>
      <c r="E27" s="44">
        <f>'Step 6 Service-Support'!E27</f>
        <v>0</v>
      </c>
      <c r="F27" s="50"/>
      <c r="G27" s="373">
        <f>SUM('Step 6 Service-Support'!G27:J27)</f>
        <v>0</v>
      </c>
      <c r="H27" s="44"/>
      <c r="I27" s="373">
        <f>SUM('Step 6 Service-Support'!L27)</f>
        <v>0</v>
      </c>
      <c r="J27" s="44"/>
      <c r="K27" s="373">
        <f>'Step 6 Service-Support'!O27</f>
        <v>0</v>
      </c>
      <c r="L27" s="373">
        <f>'Step 6 Service-Support'!P27</f>
        <v>0</v>
      </c>
      <c r="M27" s="50"/>
      <c r="N27" s="44">
        <f>IF(SUM(B27:L27)&lt;'FY19 Floor Calculations'!T28,'FY19 Floor Calculations'!U28-SUM('Step 7 Final Adjustments'!B27:L27),0)</f>
        <v>0</v>
      </c>
      <c r="O27" s="44"/>
      <c r="P27" s="44"/>
      <c r="Q27" s="44">
        <f t="shared" si="4"/>
        <v>0</v>
      </c>
      <c r="R27" s="373">
        <f t="shared" si="3"/>
        <v>0</v>
      </c>
      <c r="S27" s="162"/>
      <c r="T27" s="44">
        <v>0</v>
      </c>
      <c r="U27" s="1838"/>
      <c r="V27" s="44">
        <v>0</v>
      </c>
      <c r="W27" s="12"/>
      <c r="X27" s="265"/>
      <c r="Y27" s="392"/>
      <c r="Z27" s="12">
        <f t="shared" si="5"/>
        <v>0</v>
      </c>
    </row>
    <row r="28" spans="1:26">
      <c r="A28" s="173" t="s">
        <v>84</v>
      </c>
      <c r="B28" s="40">
        <f>'Step 6 Service-Support'!B28</f>
        <v>0</v>
      </c>
      <c r="C28" s="40">
        <f>'Step 6 Service-Support'!C28</f>
        <v>0</v>
      </c>
      <c r="D28" s="40">
        <f>'Step 6 Service-Support'!D28</f>
        <v>0</v>
      </c>
      <c r="E28" s="40">
        <f>'Step 6 Service-Support'!E28</f>
        <v>230000</v>
      </c>
      <c r="F28" s="50"/>
      <c r="G28" s="372">
        <f>SUM('Step 6 Service-Support'!G28:J28)</f>
        <v>0</v>
      </c>
      <c r="H28" s="44"/>
      <c r="I28" s="372">
        <f>SUM('Step 6 Service-Support'!L28)</f>
        <v>841966.8793919452</v>
      </c>
      <c r="J28" s="44"/>
      <c r="K28" s="372">
        <f>'Step 6 Service-Support'!O28</f>
        <v>-22200</v>
      </c>
      <c r="L28" s="372">
        <f>'Step 6 Service-Support'!P28</f>
        <v>2010259.38</v>
      </c>
      <c r="M28" s="50"/>
      <c r="N28" s="40">
        <v>0</v>
      </c>
      <c r="O28" s="40"/>
      <c r="P28" s="40">
        <v>0</v>
      </c>
      <c r="Q28" s="40">
        <f t="shared" si="4"/>
        <v>-26457.893349102309</v>
      </c>
      <c r="R28" s="372">
        <f t="shared" si="3"/>
        <v>3033568.3660428426</v>
      </c>
      <c r="S28" s="162"/>
      <c r="T28" s="40">
        <v>2999580</v>
      </c>
      <c r="U28" s="40">
        <v>3053614.8421898717</v>
      </c>
      <c r="V28" s="40">
        <v>3418429.6799999997</v>
      </c>
      <c r="W28" s="12"/>
      <c r="X28" s="265" t="s">
        <v>1811</v>
      </c>
      <c r="Y28" s="392"/>
      <c r="Z28" s="12">
        <f t="shared" si="5"/>
        <v>-26457.893349102309</v>
      </c>
    </row>
    <row r="29" spans="1:26">
      <c r="A29" s="49" t="s">
        <v>86</v>
      </c>
      <c r="B29" s="50">
        <f>'Step 6 Service-Support'!B29</f>
        <v>0</v>
      </c>
      <c r="C29" s="50">
        <f>'Step 6 Service-Support'!C29</f>
        <v>0</v>
      </c>
      <c r="D29" s="50">
        <f>'Step 6 Service-Support'!D29</f>
        <v>0</v>
      </c>
      <c r="E29" s="50">
        <f>'Step 6 Service-Support'!E29</f>
        <v>0</v>
      </c>
      <c r="F29" s="50"/>
      <c r="G29" s="50">
        <f>SUM('Step 6 Service-Support'!G29:J29)</f>
        <v>0</v>
      </c>
      <c r="H29" s="50"/>
      <c r="I29" s="50">
        <f>SUM('Step 6 Service-Support'!L29)</f>
        <v>0</v>
      </c>
      <c r="J29" s="50"/>
      <c r="K29" s="50">
        <f>'Step 6 Service-Support'!O29</f>
        <v>0</v>
      </c>
      <c r="L29" s="50">
        <f>'Step 6 Service-Support'!P29</f>
        <v>21222276</v>
      </c>
      <c r="M29" s="50"/>
      <c r="N29" s="50">
        <f>IF(SUM(B29:L29)&lt;'FY19 Floor Calculations'!T30,'FY19 Floor Calculations'!U30-SUM('Step 7 Final Adjustments'!B29:L29),0)</f>
        <v>0</v>
      </c>
      <c r="O29" s="50"/>
      <c r="P29" s="50">
        <v>-210000</v>
      </c>
      <c r="Q29" s="50">
        <f t="shared" si="4"/>
        <v>-183494.0838529889</v>
      </c>
      <c r="R29" s="50">
        <f t="shared" si="3"/>
        <v>20828781.916147012</v>
      </c>
      <c r="S29" s="162"/>
      <c r="T29" s="50">
        <v>19821377</v>
      </c>
      <c r="U29" s="50">
        <v>20146975.578504048</v>
      </c>
      <c r="V29" s="50">
        <v>20922567.719999999</v>
      </c>
      <c r="W29" s="12"/>
      <c r="X29" s="265" t="s">
        <v>1213</v>
      </c>
      <c r="Y29" s="392" t="s">
        <v>1816</v>
      </c>
      <c r="Z29" s="12">
        <f t="shared" si="5"/>
        <v>-393494.0838529889</v>
      </c>
    </row>
    <row r="30" spans="1:26">
      <c r="A30" s="358" t="s">
        <v>1895</v>
      </c>
      <c r="B30" s="44">
        <f>'Step 6 Service-Support'!B30</f>
        <v>0</v>
      </c>
      <c r="C30" s="44">
        <f>'Step 6 Service-Support'!C30</f>
        <v>0</v>
      </c>
      <c r="D30" s="44">
        <f>'Step 6 Service-Support'!D30</f>
        <v>0</v>
      </c>
      <c r="E30" s="44">
        <f>'Step 6 Service-Support'!E30</f>
        <v>0</v>
      </c>
      <c r="F30" s="50"/>
      <c r="G30" s="44">
        <f>SUM('Step 6 Service-Support'!G30:J30)</f>
        <v>0</v>
      </c>
      <c r="H30" s="44"/>
      <c r="I30" s="44">
        <f>SUM('Step 6 Service-Support'!L30)</f>
        <v>0</v>
      </c>
      <c r="J30" s="44"/>
      <c r="K30" s="44">
        <f>'Step 6 Service-Support'!O30</f>
        <v>0</v>
      </c>
      <c r="L30" s="44">
        <f>'Step 6 Service-Support'!P30</f>
        <v>5263200</v>
      </c>
      <c r="M30" s="50"/>
      <c r="N30" s="44">
        <f>IF(SUM(B30:L30)&lt;'FY19 Floor Calculations'!T31,'FY19 Floor Calculations'!U31-SUM('Step 7 Final Adjustments'!B30:L30),0)</f>
        <v>0</v>
      </c>
      <c r="O30" s="44"/>
      <c r="P30" s="44"/>
      <c r="Q30" s="44">
        <f t="shared" si="4"/>
        <v>-45507.186040510038</v>
      </c>
      <c r="R30" s="44">
        <f t="shared" si="3"/>
        <v>5217692.8139594896</v>
      </c>
      <c r="S30" s="162"/>
      <c r="T30" s="44">
        <v>3440000</v>
      </c>
      <c r="U30" s="1838"/>
      <c r="V30" s="44">
        <v>5263200</v>
      </c>
      <c r="W30" s="12"/>
      <c r="X30" s="265" t="s">
        <v>1588</v>
      </c>
      <c r="Y30" s="392" t="s">
        <v>1817</v>
      </c>
      <c r="Z30" s="12">
        <f t="shared" si="5"/>
        <v>-45507.186040510038</v>
      </c>
    </row>
    <row r="31" spans="1:26" ht="16.5" thickBot="1">
      <c r="A31" s="359" t="s">
        <v>452</v>
      </c>
      <c r="B31" s="221">
        <f>'Step 6 Service-Support'!B31</f>
        <v>0</v>
      </c>
      <c r="C31" s="221">
        <f>'Step 6 Service-Support'!C31</f>
        <v>0</v>
      </c>
      <c r="D31" s="221">
        <f>'Step 6 Service-Support'!D31</f>
        <v>0</v>
      </c>
      <c r="E31" s="221">
        <f>'Step 6 Service-Support'!E31</f>
        <v>0</v>
      </c>
      <c r="F31" s="50"/>
      <c r="G31" s="221">
        <f>SUM('Step 6 Service-Support'!G31:J31)</f>
        <v>813296</v>
      </c>
      <c r="H31" s="44"/>
      <c r="I31" s="221">
        <f>SUM('Step 6 Service-Support'!L31)</f>
        <v>0</v>
      </c>
      <c r="J31" s="44"/>
      <c r="K31" s="221">
        <f>'Step 6 Service-Support'!O31</f>
        <v>0</v>
      </c>
      <c r="L31" s="221">
        <f>'Step 6 Service-Support'!P31</f>
        <v>0</v>
      </c>
      <c r="M31" s="50"/>
      <c r="N31" s="221">
        <f>IF(SUM(B31:L31)&lt;'FY19 Floor Calculations'!T32,'FY19 Floor Calculations'!U32-SUM('Step 7 Final Adjustments'!B31:L31),0)</f>
        <v>0</v>
      </c>
      <c r="O31" s="221"/>
      <c r="P31" s="221"/>
      <c r="Q31" s="221">
        <f t="shared" si="4"/>
        <v>-7031.9980958357373</v>
      </c>
      <c r="R31" s="221">
        <f t="shared" si="3"/>
        <v>806264.00190416421</v>
      </c>
      <c r="S31" s="162"/>
      <c r="T31" s="221">
        <v>816537</v>
      </c>
      <c r="U31" s="221">
        <v>838468.22952079831</v>
      </c>
      <c r="V31" s="221">
        <v>828748.62399999995</v>
      </c>
      <c r="W31" s="12"/>
      <c r="X31" s="395" t="s">
        <v>1808</v>
      </c>
      <c r="Y31" s="397" t="s">
        <v>1818</v>
      </c>
      <c r="Z31" s="12">
        <f t="shared" si="5"/>
        <v>806264.00190416421</v>
      </c>
    </row>
    <row r="32" spans="1:26">
      <c r="A32" s="358" t="s">
        <v>453</v>
      </c>
      <c r="B32" s="50">
        <f>'Step 6 Service-Support'!B32</f>
        <v>0</v>
      </c>
      <c r="C32" s="50">
        <f>'Step 6 Service-Support'!C32</f>
        <v>0</v>
      </c>
      <c r="D32" s="50">
        <f>'Step 6 Service-Support'!D32</f>
        <v>0</v>
      </c>
      <c r="E32" s="50">
        <f>'Step 6 Service-Support'!E32</f>
        <v>0</v>
      </c>
      <c r="F32" s="50"/>
      <c r="G32" s="50">
        <f>SUM('Step 6 Service-Support'!G32:J32)</f>
        <v>0</v>
      </c>
      <c r="H32" s="50"/>
      <c r="I32" s="50">
        <f>SUM('Step 6 Service-Support'!L32)</f>
        <v>1155412.306081536</v>
      </c>
      <c r="J32" s="50"/>
      <c r="K32" s="50">
        <f>'Step 6 Service-Support'!O32</f>
        <v>0</v>
      </c>
      <c r="L32" s="50">
        <f>'Step 6 Service-Support'!P32</f>
        <v>0</v>
      </c>
      <c r="M32" s="50"/>
      <c r="N32" s="50">
        <f>IF(SUM(B32:L32)&lt;'FY19 Floor Calculations'!T33,'FY19 Floor Calculations'!U33-SUM('Step 7 Final Adjustments'!B32:L32),0)</f>
        <v>0</v>
      </c>
      <c r="O32" s="50"/>
      <c r="P32" s="50">
        <v>-180000</v>
      </c>
      <c r="Q32" s="50">
        <f t="shared" si="4"/>
        <v>-9990.0370053099232</v>
      </c>
      <c r="R32" s="50">
        <f t="shared" si="3"/>
        <v>965422.26907622605</v>
      </c>
      <c r="S32" s="162"/>
      <c r="T32" s="50">
        <v>957607</v>
      </c>
      <c r="U32" s="50">
        <v>964327.85257492028</v>
      </c>
      <c r="V32" s="50">
        <v>975801.53299999994</v>
      </c>
      <c r="W32" s="12"/>
      <c r="Z32" s="12">
        <f t="shared" si="5"/>
        <v>-189990.03700530992</v>
      </c>
    </row>
    <row r="33" spans="1:28">
      <c r="A33" s="172" t="s">
        <v>88</v>
      </c>
      <c r="B33" s="44">
        <f>'Step 6 Service-Support'!B33</f>
        <v>0</v>
      </c>
      <c r="C33" s="44">
        <f>'Step 6 Service-Support'!C33</f>
        <v>0</v>
      </c>
      <c r="D33" s="44">
        <f>'Step 6 Service-Support'!D33</f>
        <v>0</v>
      </c>
      <c r="E33" s="44">
        <f>'Step 6 Service-Support'!E33</f>
        <v>0</v>
      </c>
      <c r="F33" s="50"/>
      <c r="G33" s="44">
        <f>SUM('Step 6 Service-Support'!G33:J33)</f>
        <v>12434094</v>
      </c>
      <c r="H33" s="44"/>
      <c r="I33" s="44">
        <f>SUM('Step 6 Service-Support'!L33)</f>
        <v>1809.122006452656</v>
      </c>
      <c r="J33" s="44"/>
      <c r="K33" s="44">
        <f>'Step 6 Service-Support'!O33</f>
        <v>-19667.72</v>
      </c>
      <c r="L33" s="44">
        <f>'Step 6 Service-Support'!P33</f>
        <v>2897380</v>
      </c>
      <c r="M33" s="50"/>
      <c r="N33" s="44">
        <f>IF(SUM(B33:L33)&lt;'FY19 Floor Calculations'!T34,'FY19 Floor Calculations'!U34-SUM('Step 7 Final Adjustments'!B33:L33),0)</f>
        <v>0</v>
      </c>
      <c r="O33" s="44"/>
      <c r="P33" s="44"/>
      <c r="Q33" s="44">
        <f t="shared" si="4"/>
        <v>-132406.05431143174</v>
      </c>
      <c r="R33" s="44">
        <f t="shared" si="3"/>
        <v>15181209.347695021</v>
      </c>
      <c r="S33" s="162"/>
      <c r="T33" s="44">
        <v>14975151</v>
      </c>
      <c r="U33" s="44">
        <v>15335151.20267828</v>
      </c>
      <c r="V33" s="44">
        <v>15225241.994923998</v>
      </c>
      <c r="W33" s="12"/>
      <c r="X33" t="s">
        <v>1904</v>
      </c>
      <c r="Z33" s="12">
        <f t="shared" si="5"/>
        <v>12301687.945688568</v>
      </c>
    </row>
    <row r="34" spans="1:28">
      <c r="A34" s="359" t="s">
        <v>89</v>
      </c>
      <c r="B34" s="221">
        <f>'Step 6 Service-Support'!B34</f>
        <v>0</v>
      </c>
      <c r="C34" s="221">
        <f>'Step 6 Service-Support'!C34</f>
        <v>0</v>
      </c>
      <c r="D34" s="221">
        <f>'Step 6 Service-Support'!D34</f>
        <v>0</v>
      </c>
      <c r="E34" s="221">
        <f>'Step 6 Service-Support'!E34</f>
        <v>8262240</v>
      </c>
      <c r="F34" s="50"/>
      <c r="G34" s="375">
        <f>SUM('Step 6 Service-Support'!G34:J34)</f>
        <v>0</v>
      </c>
      <c r="H34" s="44"/>
      <c r="I34" s="375">
        <f>SUM('Step 6 Service-Support'!L34)</f>
        <v>829840.57305342832</v>
      </c>
      <c r="J34" s="44"/>
      <c r="K34" s="375">
        <f>'Step 6 Service-Support'!O34</f>
        <v>-102890.19200000001</v>
      </c>
      <c r="L34" s="375">
        <f>'Step 6 Service-Support'!P34</f>
        <v>2080908</v>
      </c>
      <c r="M34" s="50"/>
      <c r="N34" s="221">
        <f>IF(SUM(B34:L34)&lt;'FY19 Floor Calculations'!T35,'FY19 Floor Calculations'!U35-SUM('Step 7 Final Adjustments'!B34:L34),0)</f>
        <v>0</v>
      </c>
      <c r="O34" s="221"/>
      <c r="P34" s="221"/>
      <c r="Q34" s="221">
        <f t="shared" si="4"/>
        <v>-95715.349314741485</v>
      </c>
      <c r="R34" s="375">
        <f t="shared" si="3"/>
        <v>10974383.031738687</v>
      </c>
      <c r="S34" s="162"/>
      <c r="T34" s="221">
        <v>11507823</v>
      </c>
      <c r="U34" s="221">
        <v>11826030.998134162</v>
      </c>
      <c r="V34" s="221">
        <v>11403398.79932344</v>
      </c>
      <c r="W34" s="12"/>
      <c r="X34" t="s">
        <v>1213</v>
      </c>
      <c r="Y34" s="44">
        <v>695750</v>
      </c>
      <c r="Z34" s="12">
        <f t="shared" si="5"/>
        <v>-95715.349314741485</v>
      </c>
    </row>
    <row r="35" spans="1:28">
      <c r="A35" s="362" t="s">
        <v>90</v>
      </c>
      <c r="B35" s="363">
        <f>SUM(B16:B34)</f>
        <v>0</v>
      </c>
      <c r="C35" s="363">
        <f>SUM(C16:C34)</f>
        <v>1810866</v>
      </c>
      <c r="D35" s="363">
        <f>SUM(D16:D34)</f>
        <v>0</v>
      </c>
      <c r="E35" s="363">
        <f>SUM(E16:E34)</f>
        <v>22006904</v>
      </c>
      <c r="F35" s="635"/>
      <c r="G35" s="363">
        <f>SUM(G16:G34)</f>
        <v>13247390</v>
      </c>
      <c r="H35" s="363">
        <f>SUM(H16:H34)</f>
        <v>0</v>
      </c>
      <c r="I35" s="363">
        <f>SUM(I16:I34)</f>
        <v>218544124.19140771</v>
      </c>
      <c r="J35" s="363"/>
      <c r="K35" s="363">
        <f>SUM(K16:K34)</f>
        <v>-2644029.9160000002</v>
      </c>
      <c r="L35" s="363">
        <f>SUM(L16:L34)</f>
        <v>101576114.16776375</v>
      </c>
      <c r="M35" s="636"/>
      <c r="N35" s="363">
        <f>SUM(N16:N34)</f>
        <v>303693.36904671788</v>
      </c>
      <c r="O35" s="363">
        <f>SUM(O15:O34)</f>
        <v>2285000</v>
      </c>
      <c r="P35" s="363">
        <f>SUM(P15:P34)</f>
        <v>695750</v>
      </c>
      <c r="Q35" s="363">
        <f>SUM(Q15:Q34)</f>
        <v>-3065469.6786746504</v>
      </c>
      <c r="R35" s="363">
        <f>SUM(R15:R34)</f>
        <v>354760342.13354355</v>
      </c>
      <c r="S35" s="162"/>
      <c r="T35" s="1825">
        <f>SUM(T16:T34)</f>
        <v>347579114</v>
      </c>
      <c r="U35" s="1856"/>
      <c r="V35" s="363">
        <f>SUM(V15:V34)</f>
        <v>355638411.43346822</v>
      </c>
    </row>
    <row r="36" spans="1:28">
      <c r="A36" s="172"/>
      <c r="B36" s="42"/>
      <c r="C36" s="42"/>
      <c r="D36" s="42"/>
      <c r="E36" s="42"/>
      <c r="F36" s="175"/>
      <c r="G36" s="42"/>
      <c r="H36" s="42"/>
      <c r="I36" s="42"/>
      <c r="J36" s="42"/>
      <c r="K36" s="42"/>
      <c r="L36" s="42"/>
      <c r="M36" s="42"/>
      <c r="N36" s="42"/>
      <c r="O36" s="42"/>
      <c r="P36" s="42"/>
      <c r="Q36" s="46"/>
      <c r="R36" s="42"/>
      <c r="S36" s="162"/>
      <c r="T36" s="42"/>
      <c r="U36" s="42"/>
      <c r="V36" s="42"/>
    </row>
    <row r="37" spans="1:28">
      <c r="A37" s="162"/>
      <c r="F37" s="43"/>
      <c r="H37" s="42"/>
      <c r="J37" s="42"/>
      <c r="M37" s="42"/>
      <c r="S37" s="167"/>
      <c r="X37" t="s">
        <v>1905</v>
      </c>
    </row>
    <row r="38" spans="1:28">
      <c r="A38" s="49" t="s">
        <v>91</v>
      </c>
      <c r="B38" s="50"/>
      <c r="C38" s="50"/>
      <c r="D38" s="50"/>
      <c r="E38" s="50"/>
      <c r="F38" s="43"/>
      <c r="G38" s="50"/>
      <c r="H38" s="50"/>
      <c r="I38" s="50"/>
      <c r="J38" s="50"/>
      <c r="K38" s="50"/>
      <c r="L38" s="50"/>
      <c r="M38" s="50"/>
      <c r="N38" s="50"/>
      <c r="O38" s="50"/>
      <c r="P38" s="50"/>
      <c r="Q38" s="50"/>
      <c r="R38" s="50"/>
      <c r="S38" s="162"/>
      <c r="T38" s="50"/>
      <c r="U38" s="1839"/>
      <c r="V38" s="50"/>
      <c r="X38" t="s">
        <v>1213</v>
      </c>
      <c r="Y38" s="1614">
        <v>200000</v>
      </c>
    </row>
    <row r="39" spans="1:28">
      <c r="A39" s="173" t="s">
        <v>92</v>
      </c>
      <c r="B39" s="40">
        <f>'Step 6 Service-Support'!B39</f>
        <v>0</v>
      </c>
      <c r="C39" s="40">
        <f>'Step 6 Service-Support'!C39</f>
        <v>20000</v>
      </c>
      <c r="D39" s="40">
        <f>'Step 6 Service-Support'!D39</f>
        <v>8960745</v>
      </c>
      <c r="E39" s="40">
        <f>'Step 6 Service-Support'!E39</f>
        <v>0</v>
      </c>
      <c r="F39" s="50"/>
      <c r="G39" s="372">
        <f>SUM('Step 6 Service-Support'!G39:J39)</f>
        <v>0</v>
      </c>
      <c r="H39" s="177"/>
      <c r="I39" s="372">
        <f>SUM('Step 6 Service-Support'!L39)</f>
        <v>7.3258350761008657</v>
      </c>
      <c r="J39" s="44"/>
      <c r="K39" s="372">
        <f>'Step 6 Service-Support'!O39</f>
        <v>0</v>
      </c>
      <c r="L39" s="372">
        <f>'Step 6 Service-Support'!P39</f>
        <v>0</v>
      </c>
      <c r="M39" s="50"/>
      <c r="N39" s="40"/>
      <c r="O39" s="40"/>
      <c r="P39" s="40"/>
      <c r="Q39" s="40">
        <f t="shared" ref="Q39:Q57" si="6">-V$3*SUM(B39,C39,D39,E39,G39,I39,K39,L39)</f>
        <v>-77650.244504392773</v>
      </c>
      <c r="R39" s="372">
        <f t="shared" ref="R39:R57" si="7">SUM(B39:Q39)</f>
        <v>8903102.0813306831</v>
      </c>
      <c r="S39" s="162"/>
      <c r="T39" s="40">
        <v>8919523</v>
      </c>
      <c r="U39" s="40">
        <v>9208252.179097617</v>
      </c>
      <c r="V39" s="40">
        <v>9088993.936999999</v>
      </c>
      <c r="W39" s="12"/>
      <c r="Z39" s="12">
        <f t="shared" ref="Z39:Z57" si="8">SUM(B39,C39,D39,G39,N39,O39,P39,Q39)</f>
        <v>8903094.7554956079</v>
      </c>
    </row>
    <row r="40" spans="1:28">
      <c r="A40" s="1319" t="s">
        <v>336</v>
      </c>
      <c r="B40" s="50">
        <f>'Step 6 Service-Support'!B40</f>
        <v>0</v>
      </c>
      <c r="C40" s="50">
        <f>'Step 6 Service-Support'!C40</f>
        <v>7750000</v>
      </c>
      <c r="D40" s="50">
        <f>'Step 6 Service-Support'!D40</f>
        <v>0</v>
      </c>
      <c r="E40" s="44">
        <f>'Step 6 Service-Support'!E40</f>
        <v>0</v>
      </c>
      <c r="F40" s="178"/>
      <c r="G40" s="374">
        <f>SUM('Step 6 Service-Support'!G40:J40)</f>
        <v>0</v>
      </c>
      <c r="H40" s="50"/>
      <c r="I40" s="374">
        <f>SUM('Step 6 Service-Support'!L40)</f>
        <v>0</v>
      </c>
      <c r="J40" s="50"/>
      <c r="K40" s="374">
        <f>'Step 6 Service-Support'!O40</f>
        <v>0</v>
      </c>
      <c r="L40" s="374">
        <f>'Step 6 Service-Support'!P40</f>
        <v>0</v>
      </c>
      <c r="M40" s="50"/>
      <c r="N40" s="50"/>
      <c r="O40" s="50"/>
      <c r="P40" s="50"/>
      <c r="Q40" s="50"/>
      <c r="R40" s="374">
        <f t="shared" si="7"/>
        <v>7750000</v>
      </c>
      <c r="S40" s="162"/>
      <c r="T40" s="50">
        <v>7177760</v>
      </c>
      <c r="U40" s="50">
        <v>7177760</v>
      </c>
      <c r="V40" s="50">
        <v>7314137.4399999995</v>
      </c>
      <c r="W40" s="12"/>
      <c r="Z40" s="12">
        <f t="shared" si="8"/>
        <v>7750000</v>
      </c>
      <c r="AB40" s="12"/>
    </row>
    <row r="41" spans="1:28">
      <c r="A41" s="172" t="s">
        <v>93</v>
      </c>
      <c r="B41" s="50">
        <f>'Step 6 Service-Support'!B41</f>
        <v>0</v>
      </c>
      <c r="C41" s="50">
        <f>'Step 6 Service-Support'!C41</f>
        <v>0</v>
      </c>
      <c r="D41" s="50">
        <f>'Step 6 Service-Support'!D41</f>
        <v>118200</v>
      </c>
      <c r="E41" s="44">
        <f>'Step 6 Service-Support'!E41</f>
        <v>0</v>
      </c>
      <c r="F41" s="178"/>
      <c r="G41" s="374">
        <f>SUM('Step 6 Service-Support'!G41:J41)</f>
        <v>4081953</v>
      </c>
      <c r="H41" s="50"/>
      <c r="I41" s="374">
        <f>SUM('Step 6 Service-Support'!L41)</f>
        <v>0</v>
      </c>
      <c r="J41" s="50"/>
      <c r="K41" s="374">
        <f>'Step 6 Service-Support'!O41</f>
        <v>-666</v>
      </c>
      <c r="L41" s="374">
        <f>'Step 6 Service-Support'!P41</f>
        <v>9000</v>
      </c>
      <c r="M41" s="50"/>
      <c r="N41" s="50"/>
      <c r="O41" s="50"/>
      <c r="P41" s="50"/>
      <c r="Q41" s="50">
        <f t="shared" si="6"/>
        <v>-36387.825060432435</v>
      </c>
      <c r="R41" s="374">
        <f t="shared" si="7"/>
        <v>4172099.1749395677</v>
      </c>
      <c r="S41" s="162"/>
      <c r="T41" s="50">
        <v>4081953</v>
      </c>
      <c r="U41" s="50">
        <v>4262626.6688140063</v>
      </c>
      <c r="V41" s="50">
        <v>4167844.1069999998</v>
      </c>
      <c r="W41" s="12"/>
      <c r="Z41" s="12">
        <f t="shared" si="8"/>
        <v>4163765.1749395677</v>
      </c>
      <c r="AB41" s="12"/>
    </row>
    <row r="42" spans="1:28">
      <c r="A42" s="49" t="s">
        <v>94</v>
      </c>
      <c r="B42" s="50">
        <f>'Step 6 Service-Support'!B42</f>
        <v>0</v>
      </c>
      <c r="C42" s="50">
        <f>'Step 6 Service-Support'!C42</f>
        <v>0</v>
      </c>
      <c r="D42" s="50">
        <f>'Step 6 Service-Support'!D42</f>
        <v>995754</v>
      </c>
      <c r="E42" s="44">
        <f>'Step 6 Service-Support'!E42</f>
        <v>0</v>
      </c>
      <c r="F42" s="50"/>
      <c r="G42" s="374">
        <f>SUM('Step 6 Service-Support'!G42:J42)</f>
        <v>0</v>
      </c>
      <c r="H42" s="178"/>
      <c r="I42" s="374">
        <f>SUM('Step 6 Service-Support'!L42)</f>
        <v>0</v>
      </c>
      <c r="J42" s="50"/>
      <c r="K42" s="374">
        <f>'Step 6 Service-Support'!O42</f>
        <v>0</v>
      </c>
      <c r="L42" s="374">
        <f>'Step 6 Service-Support'!P42</f>
        <v>0</v>
      </c>
      <c r="M42" s="50"/>
      <c r="N42" s="50"/>
      <c r="O42" s="50"/>
      <c r="P42" s="50"/>
      <c r="Q42" s="50">
        <f t="shared" si="6"/>
        <v>-8609.5840037585567</v>
      </c>
      <c r="R42" s="374">
        <f t="shared" si="7"/>
        <v>987144.4159962415</v>
      </c>
      <c r="S42" s="162"/>
      <c r="T42" s="50">
        <v>1512825</v>
      </c>
      <c r="U42" s="50">
        <v>1635948.550526659</v>
      </c>
      <c r="V42" s="50">
        <v>1541568.6749999998</v>
      </c>
      <c r="W42" s="12"/>
      <c r="Z42" s="12">
        <f t="shared" si="8"/>
        <v>987144.4159962415</v>
      </c>
      <c r="AB42" s="12"/>
    </row>
    <row r="43" spans="1:28">
      <c r="A43" s="173" t="s">
        <v>95</v>
      </c>
      <c r="B43" s="40">
        <f>'Step 6 Service-Support'!B43</f>
        <v>0</v>
      </c>
      <c r="C43" s="40">
        <f>'Step 6 Service-Support'!C43</f>
        <v>0</v>
      </c>
      <c r="D43" s="40">
        <f>'Step 6 Service-Support'!D43</f>
        <v>2951197</v>
      </c>
      <c r="E43" s="40">
        <f>'Step 6 Service-Support'!E43</f>
        <v>0</v>
      </c>
      <c r="F43" s="178"/>
      <c r="G43" s="372">
        <f>SUM('Step 6 Service-Support'!G43:J43)</f>
        <v>0</v>
      </c>
      <c r="H43" s="177"/>
      <c r="I43" s="372">
        <f>SUM('Step 6 Service-Support'!L43)</f>
        <v>0</v>
      </c>
      <c r="J43" s="44"/>
      <c r="K43" s="372">
        <f>'Step 6 Service-Support'!O43</f>
        <v>0</v>
      </c>
      <c r="L43" s="372">
        <f>'Step 6 Service-Support'!P43</f>
        <v>0</v>
      </c>
      <c r="M43" s="50"/>
      <c r="N43" s="40"/>
      <c r="O43" s="40"/>
      <c r="P43" s="40"/>
      <c r="Q43" s="40">
        <f t="shared" si="6"/>
        <v>-25516.923339640354</v>
      </c>
      <c r="R43" s="372">
        <f t="shared" si="7"/>
        <v>2925680.0766603597</v>
      </c>
      <c r="S43" s="162"/>
      <c r="T43" s="40">
        <v>2951197</v>
      </c>
      <c r="U43" s="40">
        <v>2951197</v>
      </c>
      <c r="V43" s="40">
        <v>3007269.7429999998</v>
      </c>
      <c r="W43" s="12"/>
      <c r="Z43" s="12">
        <f t="shared" si="8"/>
        <v>2925680.0766603597</v>
      </c>
      <c r="AB43" s="12"/>
    </row>
    <row r="44" spans="1:28">
      <c r="A44" s="172" t="s">
        <v>96</v>
      </c>
      <c r="B44" s="50">
        <f>'Step 6 Service-Support'!B44</f>
        <v>0</v>
      </c>
      <c r="C44" s="50">
        <f>'Step 6 Service-Support'!C44</f>
        <v>0</v>
      </c>
      <c r="D44" s="50">
        <f>'Step 6 Service-Support'!D44</f>
        <v>0</v>
      </c>
      <c r="E44" s="50">
        <f>'Step 6 Service-Support'!E44</f>
        <v>0</v>
      </c>
      <c r="F44" s="178"/>
      <c r="G44" s="374">
        <f>SUM('Step 6 Service-Support'!G44:J44)</f>
        <v>7961149</v>
      </c>
      <c r="H44" s="50"/>
      <c r="I44" s="374">
        <f>SUM('Step 6 Service-Support'!L44)</f>
        <v>44542.69768917637</v>
      </c>
      <c r="J44" s="50"/>
      <c r="K44" s="374">
        <f>'Step 6 Service-Support'!O44</f>
        <v>-247900</v>
      </c>
      <c r="L44" s="374">
        <f>'Step 6 Service-Support'!P44</f>
        <v>3350000</v>
      </c>
      <c r="M44" s="50"/>
      <c r="N44" s="50"/>
      <c r="O44" s="50"/>
      <c r="P44" s="50"/>
      <c r="Q44" s="50">
        <f t="shared" si="6"/>
        <v>-96041.256894279941</v>
      </c>
      <c r="R44" s="374">
        <f t="shared" si="7"/>
        <v>11011750.440794896</v>
      </c>
      <c r="S44" s="162"/>
      <c r="T44" s="50">
        <v>10531320</v>
      </c>
      <c r="U44" s="50">
        <v>10754349.955416732</v>
      </c>
      <c r="V44" s="50">
        <v>10719654.879999999</v>
      </c>
      <c r="W44" s="12"/>
      <c r="Z44" s="12">
        <f t="shared" si="8"/>
        <v>7865107.7431057198</v>
      </c>
    </row>
    <row r="45" spans="1:28">
      <c r="A45" s="358" t="s">
        <v>474</v>
      </c>
      <c r="B45" s="50">
        <f>'Step 6 Service-Support'!B45</f>
        <v>0</v>
      </c>
      <c r="C45" s="50">
        <f>'Step 6 Service-Support'!C45</f>
        <v>0</v>
      </c>
      <c r="D45" s="50">
        <f>'Step 6 Service-Support'!D45</f>
        <v>0</v>
      </c>
      <c r="E45" s="50">
        <f>'Step 6 Service-Support'!E45</f>
        <v>0</v>
      </c>
      <c r="F45" s="50"/>
      <c r="G45" s="374">
        <f>SUM('Step 6 Service-Support'!G45:J45)</f>
        <v>2837793</v>
      </c>
      <c r="H45" s="50"/>
      <c r="I45" s="374">
        <f>SUM('Step 6 Service-Support'!L45)</f>
        <v>601734.89493933867</v>
      </c>
      <c r="J45" s="50"/>
      <c r="K45" s="374">
        <f>'Step 6 Service-Support'!O45</f>
        <v>-141710</v>
      </c>
      <c r="L45" s="374">
        <f>'Step 6 Service-Support'!P45</f>
        <v>1915000</v>
      </c>
      <c r="M45" s="50"/>
      <c r="N45" s="50"/>
      <c r="O45" s="50"/>
      <c r="P45" s="1060"/>
      <c r="Q45" s="50">
        <f t="shared" si="6"/>
        <v>-45071.567438118334</v>
      </c>
      <c r="R45" s="374">
        <f t="shared" si="7"/>
        <v>5167746.3275012206</v>
      </c>
      <c r="S45" s="162"/>
      <c r="T45" s="50">
        <v>6381261</v>
      </c>
      <c r="U45" s="50">
        <v>6525048.662516132</v>
      </c>
      <c r="V45" s="50">
        <v>5278751.9000000004</v>
      </c>
      <c r="W45" s="12"/>
      <c r="Z45" s="12">
        <f t="shared" si="8"/>
        <v>2792721.4325618818</v>
      </c>
      <c r="AB45" s="12"/>
    </row>
    <row r="46" spans="1:28">
      <c r="A46" s="172" t="s">
        <v>1947</v>
      </c>
      <c r="B46" s="50">
        <f>'Step 6 Service-Support'!B46</f>
        <v>0</v>
      </c>
      <c r="C46" s="50">
        <f>'Step 6 Service-Support'!C46</f>
        <v>0</v>
      </c>
      <c r="D46" s="50">
        <f>'Step 6 Service-Support'!D46</f>
        <v>0</v>
      </c>
      <c r="E46" s="50">
        <f>'Step 6 Service-Support'!E46</f>
        <v>0</v>
      </c>
      <c r="F46" s="50"/>
      <c r="G46" s="374">
        <f>SUM('Step 6 Service-Support'!G46:J46)</f>
        <v>2063500</v>
      </c>
      <c r="H46" s="50"/>
      <c r="I46" s="374">
        <f>SUM('Step 6 Service-Support'!L46)</f>
        <v>4934.5384274804937</v>
      </c>
      <c r="J46" s="50"/>
      <c r="K46" s="374">
        <f>'Step 6 Service-Support'!O46</f>
        <v>-3700</v>
      </c>
      <c r="L46" s="374">
        <f>'Step 6 Service-Support'!P46</f>
        <v>50000</v>
      </c>
      <c r="M46" s="50"/>
      <c r="N46" s="50"/>
      <c r="O46" s="50"/>
      <c r="P46" s="167"/>
      <c r="Q46" s="50">
        <f t="shared" si="6"/>
        <v>-18284.621155667937</v>
      </c>
      <c r="R46" s="374">
        <f t="shared" si="7"/>
        <v>2096449.9172718124</v>
      </c>
      <c r="S46" s="162"/>
      <c r="T46" s="50">
        <v>1904613</v>
      </c>
      <c r="U46" s="50">
        <v>1969585.5661327748</v>
      </c>
      <c r="V46" s="50">
        <v>1942751.7289999998</v>
      </c>
      <c r="W46" s="12"/>
      <c r="Z46" s="12">
        <f t="shared" si="8"/>
        <v>2045215.3788443319</v>
      </c>
      <c r="AB46" s="12"/>
    </row>
    <row r="47" spans="1:28">
      <c r="A47" s="173" t="s">
        <v>98</v>
      </c>
      <c r="B47" s="40">
        <f>'Step 6 Service-Support'!B47</f>
        <v>0</v>
      </c>
      <c r="C47" s="40">
        <f>'Step 6 Service-Support'!C47</f>
        <v>0</v>
      </c>
      <c r="D47" s="40">
        <f>'Step 6 Service-Support'!D47</f>
        <v>0</v>
      </c>
      <c r="E47" s="40">
        <f>'Step 6 Service-Support'!E47</f>
        <v>0</v>
      </c>
      <c r="F47" s="50"/>
      <c r="G47" s="372">
        <f>SUM('Step 6 Service-Support'!G47:J47)</f>
        <v>22239184</v>
      </c>
      <c r="H47" s="44"/>
      <c r="I47" s="372">
        <f>SUM('Step 6 Service-Support'!L47)</f>
        <v>602.97011536474429</v>
      </c>
      <c r="J47" s="44"/>
      <c r="K47" s="372">
        <f>'Step 6 Service-Support'!O47</f>
        <v>-14800</v>
      </c>
      <c r="L47" s="372">
        <f>'Step 6 Service-Support'!P47</f>
        <v>2831600</v>
      </c>
      <c r="M47" s="50"/>
      <c r="N47" s="40"/>
      <c r="O47" s="40"/>
      <c r="P47" s="220"/>
      <c r="Q47" s="40">
        <f t="shared" si="6"/>
        <v>-216646.67213658223</v>
      </c>
      <c r="R47" s="372">
        <f t="shared" si="7"/>
        <v>24839940.297978781</v>
      </c>
      <c r="S47" s="162"/>
      <c r="T47" s="40">
        <v>23770557</v>
      </c>
      <c r="U47" s="40">
        <v>24578186.371572357</v>
      </c>
      <c r="V47" s="40">
        <v>24357136.318999998</v>
      </c>
      <c r="W47" s="12"/>
      <c r="Z47" s="12">
        <f t="shared" si="8"/>
        <v>22022537.327863418</v>
      </c>
      <c r="AB47" s="12"/>
    </row>
    <row r="48" spans="1:28">
      <c r="A48" s="172" t="s">
        <v>475</v>
      </c>
      <c r="B48" s="50">
        <f>'Step 6 Service-Support'!B48</f>
        <v>0</v>
      </c>
      <c r="C48" s="50">
        <f>'Step 6 Service-Support'!C48</f>
        <v>930050</v>
      </c>
      <c r="D48" s="50">
        <f>'Step 6 Service-Support'!D48</f>
        <v>0</v>
      </c>
      <c r="E48" s="50">
        <f>'Step 6 Service-Support'!E48</f>
        <v>0</v>
      </c>
      <c r="F48" s="50"/>
      <c r="G48" s="374">
        <f>SUM('Step 6 Service-Support'!G48:J48)</f>
        <v>2533977</v>
      </c>
      <c r="H48" s="50"/>
      <c r="I48" s="374">
        <f>SUM('Step 6 Service-Support'!L48)</f>
        <v>0</v>
      </c>
      <c r="J48" s="50"/>
      <c r="K48" s="374">
        <f>'Step 6 Service-Support'!O48</f>
        <v>-77700</v>
      </c>
      <c r="L48" s="374">
        <f>'Step 6 Service-Support'!P48</f>
        <v>1488600</v>
      </c>
      <c r="M48" s="50"/>
      <c r="N48" s="50"/>
      <c r="O48" s="50"/>
      <c r="P48" s="167"/>
      <c r="Q48" s="50">
        <f t="shared" si="6"/>
        <v>-42150.062684850564</v>
      </c>
      <c r="R48" s="374">
        <f t="shared" si="7"/>
        <v>4832776.9373151492</v>
      </c>
      <c r="S48" s="162"/>
      <c r="T48" s="50">
        <v>4978877</v>
      </c>
      <c r="U48" s="50">
        <v>5075427.1825631866</v>
      </c>
      <c r="V48" s="50">
        <v>4961072.5629999992</v>
      </c>
      <c r="W48" s="12"/>
      <c r="Z48" s="12">
        <f t="shared" si="8"/>
        <v>3421876.9373151492</v>
      </c>
      <c r="AB48" s="12"/>
    </row>
    <row r="49" spans="1:28">
      <c r="A49" s="49" t="s">
        <v>85</v>
      </c>
      <c r="B49" s="50">
        <f>'Step 6 Service-Support'!B49</f>
        <v>0</v>
      </c>
      <c r="C49" s="50">
        <f>'Step 6 Service-Support'!C49</f>
        <v>0</v>
      </c>
      <c r="D49" s="50">
        <f>'Step 6 Service-Support'!D49</f>
        <v>0</v>
      </c>
      <c r="E49" s="50">
        <f>'Step 6 Service-Support'!E49</f>
        <v>0</v>
      </c>
      <c r="F49" s="50"/>
      <c r="G49" s="373">
        <f>SUM('Step 6 Service-Support'!G49:J49)</f>
        <v>1492772</v>
      </c>
      <c r="H49" s="50"/>
      <c r="I49" s="373">
        <f>SUM('Step 6 Service-Support'!L49)</f>
        <v>11213.601234313732</v>
      </c>
      <c r="J49" s="50"/>
      <c r="K49" s="373">
        <f>'Step 6 Service-Support'!O49</f>
        <v>-3330</v>
      </c>
      <c r="L49" s="373">
        <f>'Step 6 Service-Support'!P49</f>
        <v>45000</v>
      </c>
      <c r="M49" s="50"/>
      <c r="N49" s="50"/>
      <c r="O49" s="50"/>
      <c r="P49" s="167"/>
      <c r="Q49" s="50">
        <f t="shared" si="6"/>
        <v>-13364.19611641707</v>
      </c>
      <c r="R49" s="373">
        <f t="shared" si="7"/>
        <v>1532291.4051178966</v>
      </c>
      <c r="S49" s="162"/>
      <c r="T49" s="50">
        <v>1507856</v>
      </c>
      <c r="U49" s="50">
        <v>1569404.2651017518</v>
      </c>
      <c r="V49" s="50">
        <v>1578175.264</v>
      </c>
      <c r="W49" s="12"/>
      <c r="Z49" s="12">
        <f t="shared" si="8"/>
        <v>1479407.8038835828</v>
      </c>
      <c r="AB49" s="12"/>
    </row>
    <row r="50" spans="1:28">
      <c r="A50" s="359" t="s">
        <v>99</v>
      </c>
      <c r="B50" s="222">
        <f>'Step 6 Service-Support'!B50</f>
        <v>0</v>
      </c>
      <c r="C50" s="222">
        <f>'Step 6 Service-Support'!C50</f>
        <v>0</v>
      </c>
      <c r="D50" s="222">
        <f>'Step 6 Service-Support'!D50</f>
        <v>0</v>
      </c>
      <c r="E50" s="222">
        <f>'Step 6 Service-Support'!E50</f>
        <v>0</v>
      </c>
      <c r="F50" s="50"/>
      <c r="G50" s="372">
        <f>SUM('Step 6 Service-Support'!G50:J50)</f>
        <v>4493343</v>
      </c>
      <c r="H50" s="50"/>
      <c r="I50" s="372">
        <f>SUM('Step 6 Service-Support'!L50)</f>
        <v>0</v>
      </c>
      <c r="J50" s="50"/>
      <c r="K50" s="372">
        <f>'Step 6 Service-Support'!O50</f>
        <v>0</v>
      </c>
      <c r="L50" s="372">
        <f>'Step 6 Service-Support'!P50</f>
        <v>3658800</v>
      </c>
      <c r="M50" s="50"/>
      <c r="N50" s="222"/>
      <c r="O50" s="222"/>
      <c r="P50" s="220"/>
      <c r="Q50" s="222">
        <f t="shared" si="6"/>
        <v>-70485.842857927055</v>
      </c>
      <c r="R50" s="372">
        <f t="shared" si="7"/>
        <v>8081657.1571420729</v>
      </c>
      <c r="S50" s="162"/>
      <c r="T50" s="222">
        <v>7933343</v>
      </c>
      <c r="U50" s="222">
        <v>8254639.4925819729</v>
      </c>
      <c r="V50" s="222">
        <v>8237516.517</v>
      </c>
      <c r="W50" s="12"/>
      <c r="Z50" s="12">
        <f t="shared" si="8"/>
        <v>4422857.1571420729</v>
      </c>
      <c r="AB50" s="12"/>
    </row>
    <row r="51" spans="1:28">
      <c r="A51" s="172" t="s">
        <v>100</v>
      </c>
      <c r="B51" s="44">
        <f>'Step 6 Service-Support'!B51</f>
        <v>0</v>
      </c>
      <c r="C51" s="44">
        <f>'Step 6 Service-Support'!C51</f>
        <v>0</v>
      </c>
      <c r="D51" s="44">
        <f>'Step 6 Service-Support'!D51</f>
        <v>0</v>
      </c>
      <c r="E51" s="44">
        <f>'Step 6 Service-Support'!E51</f>
        <v>0</v>
      </c>
      <c r="F51" s="50"/>
      <c r="G51" s="373">
        <f>SUM('Step 6 Service-Support'!G51:J51)</f>
        <v>9790128</v>
      </c>
      <c r="H51" s="44"/>
      <c r="I51" s="373">
        <f>SUM('Step 6 Service-Support'!L51)</f>
        <v>1359432.3894694957</v>
      </c>
      <c r="J51" s="44"/>
      <c r="K51" s="373">
        <f>'Step 6 Service-Support'!O51</f>
        <v>-112682.538</v>
      </c>
      <c r="L51" s="373">
        <f>'Step 6 Service-Support'!P51</f>
        <v>1522737</v>
      </c>
      <c r="M51" s="50"/>
      <c r="N51" s="44"/>
      <c r="O51" s="44"/>
      <c r="P51" s="167"/>
      <c r="Q51" s="44">
        <f t="shared" si="6"/>
        <v>-108594.14987896624</v>
      </c>
      <c r="R51" s="373">
        <f t="shared" si="7"/>
        <v>12451020.701590529</v>
      </c>
      <c r="S51" s="162"/>
      <c r="T51" s="44">
        <v>13396050</v>
      </c>
      <c r="U51" s="44">
        <v>13763221.779793097</v>
      </c>
      <c r="V51" s="44">
        <v>12745912.603</v>
      </c>
      <c r="W51" s="12"/>
      <c r="Z51" s="12">
        <f t="shared" si="8"/>
        <v>9681533.8501210343</v>
      </c>
      <c r="AB51" s="12"/>
    </row>
    <row r="52" spans="1:28">
      <c r="A52" s="172" t="s">
        <v>101</v>
      </c>
      <c r="B52" s="50">
        <f>'Step 6 Service-Support'!B52</f>
        <v>0</v>
      </c>
      <c r="C52" s="50">
        <f>'Step 6 Service-Support'!C52</f>
        <v>0</v>
      </c>
      <c r="D52" s="50">
        <f>'Step 6 Service-Support'!D52</f>
        <v>0</v>
      </c>
      <c r="E52" s="50">
        <f>'Step 6 Service-Support'!E52</f>
        <v>0</v>
      </c>
      <c r="F52" s="50"/>
      <c r="G52" s="374">
        <f>SUM('Step 6 Service-Support'!G52:J52)</f>
        <v>11893698</v>
      </c>
      <c r="H52" s="50"/>
      <c r="I52" s="374">
        <f>SUM('Step 6 Service-Support'!L52)</f>
        <v>0</v>
      </c>
      <c r="J52" s="50"/>
      <c r="K52" s="374">
        <f>'Step 6 Service-Support'!O52</f>
        <v>0</v>
      </c>
      <c r="L52" s="374">
        <f>'Step 6 Service-Support'!P52</f>
        <v>1754400</v>
      </c>
      <c r="M52" s="50"/>
      <c r="N52" s="50"/>
      <c r="O52" s="50"/>
      <c r="P52" s="167"/>
      <c r="Q52" s="50">
        <f t="shared" si="6"/>
        <v>-118005.49756519095</v>
      </c>
      <c r="R52" s="374">
        <f t="shared" si="7"/>
        <v>13530092.502434809</v>
      </c>
      <c r="S52" s="162"/>
      <c r="T52" s="50">
        <v>13613698</v>
      </c>
      <c r="U52" s="50">
        <v>14200542.566577602</v>
      </c>
      <c r="V52" s="50">
        <v>13874078.261999998</v>
      </c>
      <c r="W52" s="12"/>
      <c r="Z52" s="12">
        <f t="shared" si="8"/>
        <v>11775692.502434809</v>
      </c>
      <c r="AB52" s="12"/>
    </row>
    <row r="53" spans="1:28">
      <c r="A53" s="359" t="s">
        <v>102</v>
      </c>
      <c r="B53" s="222">
        <f>'Step 6 Service-Support'!B53</f>
        <v>0</v>
      </c>
      <c r="C53" s="222">
        <f>'Step 6 Service-Support'!C53</f>
        <v>0</v>
      </c>
      <c r="D53" s="222">
        <f>'Step 6 Service-Support'!D53</f>
        <v>0</v>
      </c>
      <c r="E53" s="222">
        <f>'Step 6 Service-Support'!E53</f>
        <v>0</v>
      </c>
      <c r="F53" s="50"/>
      <c r="G53" s="372">
        <f>SUM('Step 6 Service-Support'!G53:J53)</f>
        <v>28573610</v>
      </c>
      <c r="H53" s="50"/>
      <c r="I53" s="372">
        <f>SUM('Step 6 Service-Support'!L53)</f>
        <v>0</v>
      </c>
      <c r="J53" s="50"/>
      <c r="K53" s="372">
        <f>'Step 6 Service-Support'!O53</f>
        <v>-65120</v>
      </c>
      <c r="L53" s="372">
        <f>'Step 6 Service-Support'!P53</f>
        <v>2634400</v>
      </c>
      <c r="M53" s="50"/>
      <c r="N53" s="222"/>
      <c r="O53" s="222"/>
      <c r="P53" s="220"/>
      <c r="Q53" s="222">
        <f t="shared" si="6"/>
        <v>-269270.65075793047</v>
      </c>
      <c r="R53" s="372">
        <f t="shared" si="7"/>
        <v>30873619.349242069</v>
      </c>
      <c r="S53" s="162"/>
      <c r="T53" s="222">
        <v>30168812</v>
      </c>
      <c r="U53" s="222">
        <v>30860244.287852041</v>
      </c>
      <c r="V53" s="222">
        <v>31138720.097999997</v>
      </c>
      <c r="W53" s="12"/>
      <c r="Z53" s="12">
        <f t="shared" si="8"/>
        <v>28304339.349242069</v>
      </c>
      <c r="AB53" s="12"/>
    </row>
    <row r="54" spans="1:28">
      <c r="A54" s="172" t="s">
        <v>103</v>
      </c>
      <c r="B54" s="44">
        <f>'Step 6 Service-Support'!B54</f>
        <v>0</v>
      </c>
      <c r="C54" s="44">
        <f>'Step 6 Service-Support'!C54</f>
        <v>0</v>
      </c>
      <c r="D54" s="44">
        <f>'Step 6 Service-Support'!D54</f>
        <v>0</v>
      </c>
      <c r="E54" s="44">
        <f>'Step 6 Service-Support'!E54</f>
        <v>0</v>
      </c>
      <c r="F54" s="50"/>
      <c r="G54" s="373">
        <f>SUM('Step 6 Service-Support'!G54:J54)</f>
        <v>23739395</v>
      </c>
      <c r="H54" s="44"/>
      <c r="I54" s="373">
        <f>SUM('Step 6 Service-Support'!L54)</f>
        <v>435.06190005183799</v>
      </c>
      <c r="J54" s="44"/>
      <c r="K54" s="373">
        <f>'Step 6 Service-Support'!O54</f>
        <v>0</v>
      </c>
      <c r="L54" s="373">
        <f>'Step 6 Service-Support'!P54</f>
        <v>4824600</v>
      </c>
      <c r="M54" s="50"/>
      <c r="N54" s="44"/>
      <c r="O54" s="44"/>
      <c r="P54" s="167"/>
      <c r="Q54" s="44">
        <f t="shared" si="6"/>
        <v>-246976.52245174485</v>
      </c>
      <c r="R54" s="373">
        <f t="shared" si="7"/>
        <v>28317453.53944831</v>
      </c>
      <c r="S54" s="162"/>
      <c r="T54" s="44">
        <v>18588968</v>
      </c>
      <c r="U54" s="44">
        <v>19158625.642796345</v>
      </c>
      <c r="V54" s="44">
        <v>18951940.593999997</v>
      </c>
      <c r="W54" s="12"/>
      <c r="Z54" s="12">
        <f t="shared" si="8"/>
        <v>23492418.477548257</v>
      </c>
      <c r="AB54" s="12"/>
    </row>
    <row r="55" spans="1:28">
      <c r="A55" s="172" t="s">
        <v>450</v>
      </c>
      <c r="B55" s="44">
        <f>'Step 6 Service-Support'!B55</f>
        <v>0</v>
      </c>
      <c r="C55" s="44">
        <f>'Step 6 Service-Support'!C55</f>
        <v>0</v>
      </c>
      <c r="D55" s="44">
        <f>'Step 6 Service-Support'!D55</f>
        <v>0</v>
      </c>
      <c r="E55" s="44">
        <f>'Step 6 Service-Support'!E55</f>
        <v>0</v>
      </c>
      <c r="F55" s="166"/>
      <c r="G55" s="373">
        <f>SUM('Step 6 Service-Support'!G55:J55)</f>
        <v>0</v>
      </c>
      <c r="H55" s="44"/>
      <c r="I55" s="373">
        <f>SUM('Step 6 Service-Support'!L55)</f>
        <v>0</v>
      </c>
      <c r="J55" s="44"/>
      <c r="K55" s="373">
        <f>'Step 6 Service-Support'!O55</f>
        <v>0</v>
      </c>
      <c r="L55" s="373">
        <f>'Step 6 Service-Support'!P55</f>
        <v>0</v>
      </c>
      <c r="M55" s="50"/>
      <c r="N55" s="44"/>
      <c r="O55" s="44"/>
      <c r="P55" s="1060"/>
      <c r="Q55" s="44">
        <f t="shared" si="6"/>
        <v>0</v>
      </c>
      <c r="R55" s="373">
        <f t="shared" si="7"/>
        <v>0</v>
      </c>
      <c r="S55" s="162"/>
      <c r="T55" s="44">
        <v>0</v>
      </c>
      <c r="U55" s="1838"/>
      <c r="V55" s="44">
        <v>0</v>
      </c>
      <c r="W55" s="12"/>
      <c r="Z55" s="12">
        <f t="shared" si="8"/>
        <v>0</v>
      </c>
    </row>
    <row r="56" spans="1:28">
      <c r="A56" s="377" t="s">
        <v>476</v>
      </c>
      <c r="B56" s="221">
        <f>'Step 6 Service-Support'!B56</f>
        <v>0</v>
      </c>
      <c r="C56" s="221">
        <f>'Step 6 Service-Support'!C56</f>
        <v>0</v>
      </c>
      <c r="D56" s="221">
        <f>'Step 6 Service-Support'!D56</f>
        <v>0</v>
      </c>
      <c r="E56" s="221">
        <f>'Step 6 Service-Support'!E56</f>
        <v>0</v>
      </c>
      <c r="F56" s="50"/>
      <c r="G56" s="372">
        <f>SUM('Step 6 Service-Support'!G56:J56)</f>
        <v>0</v>
      </c>
      <c r="H56" s="44"/>
      <c r="I56" s="372">
        <f>SUM('Step 6 Service-Support'!L56)</f>
        <v>0</v>
      </c>
      <c r="J56" s="44"/>
      <c r="K56" s="372">
        <f>'Step 6 Service-Support'!O56</f>
        <v>0</v>
      </c>
      <c r="L56" s="372">
        <f>'Step 6 Service-Support'!P56</f>
        <v>877200</v>
      </c>
      <c r="M56" s="50"/>
      <c r="N56" s="221"/>
      <c r="O56" s="221"/>
      <c r="P56" s="220"/>
      <c r="Q56" s="221">
        <f t="shared" si="6"/>
        <v>-7584.531006751673</v>
      </c>
      <c r="R56" s="372">
        <f t="shared" si="7"/>
        <v>869615.4689932483</v>
      </c>
      <c r="S56" s="162"/>
      <c r="T56" s="222">
        <v>2400967</v>
      </c>
      <c r="U56" s="1840"/>
      <c r="V56" s="222">
        <v>2447445.3729999997</v>
      </c>
      <c r="W56" s="12"/>
      <c r="Z56" s="12">
        <f t="shared" si="8"/>
        <v>-7584.531006751673</v>
      </c>
      <c r="AB56" s="12"/>
    </row>
    <row r="57" spans="1:28">
      <c r="A57" s="172" t="s">
        <v>104</v>
      </c>
      <c r="B57" s="50">
        <f>'Step 6 Service-Support'!B57</f>
        <v>0</v>
      </c>
      <c r="C57" s="50">
        <f>'Step 6 Service-Support'!C57</f>
        <v>0</v>
      </c>
      <c r="D57" s="50">
        <f>'Step 6 Service-Support'!D57</f>
        <v>0</v>
      </c>
      <c r="E57" s="50">
        <f>'Step 6 Service-Support'!E57</f>
        <v>0</v>
      </c>
      <c r="F57" s="172"/>
      <c r="G57" s="373">
        <f>SUM('Step 6 Service-Support'!G57:J57)</f>
        <v>0</v>
      </c>
      <c r="H57" s="50"/>
      <c r="I57" s="373">
        <f>SUM('Step 6 Service-Support'!L57)</f>
        <v>0</v>
      </c>
      <c r="J57" s="50"/>
      <c r="K57" s="373">
        <f>'Step 6 Service-Support'!O57</f>
        <v>-5180</v>
      </c>
      <c r="L57" s="373">
        <f>'Step 6 Service-Support'!P57</f>
        <v>4456000</v>
      </c>
      <c r="M57" s="50"/>
      <c r="N57" s="50"/>
      <c r="O57" s="50"/>
      <c r="P57" s="50"/>
      <c r="Q57" s="50">
        <f t="shared" si="6"/>
        <v>-38483.107951972735</v>
      </c>
      <c r="R57" s="373">
        <f t="shared" si="7"/>
        <v>4412336.8920480274</v>
      </c>
      <c r="S57" s="162"/>
      <c r="T57" s="50">
        <v>12293440</v>
      </c>
      <c r="U57" s="1839"/>
      <c r="V57" s="50">
        <v>12527862.359999999</v>
      </c>
      <c r="W57" s="12"/>
      <c r="Z57" s="12">
        <f t="shared" si="8"/>
        <v>-38483.107951972735</v>
      </c>
      <c r="AB57" s="12"/>
    </row>
    <row r="58" spans="1:28">
      <c r="A58" s="366" t="s">
        <v>105</v>
      </c>
      <c r="B58" s="367">
        <f>SUM(B39:B57)</f>
        <v>0</v>
      </c>
      <c r="C58" s="367">
        <f>SUM(C39:C57)</f>
        <v>8700050</v>
      </c>
      <c r="D58" s="367">
        <f>SUM(D39:D57)</f>
        <v>13025896</v>
      </c>
      <c r="E58" s="367">
        <f>SUM(E39:E57)</f>
        <v>0</v>
      </c>
      <c r="F58" s="381"/>
      <c r="G58" s="367">
        <f>SUM(G39:G57)</f>
        <v>121700502</v>
      </c>
      <c r="H58" s="168">
        <f>SUM(H39:H57)</f>
        <v>0</v>
      </c>
      <c r="I58" s="367">
        <f>SUM(I39:I57)</f>
        <v>2022903.4796102976</v>
      </c>
      <c r="J58" s="168"/>
      <c r="K58" s="367">
        <f>SUM(K39:K57)</f>
        <v>-672788.53799999994</v>
      </c>
      <c r="L58" s="367">
        <f>SUM(L39:L57)</f>
        <v>29417337</v>
      </c>
      <c r="M58" s="166"/>
      <c r="N58" s="367">
        <f>SUM(N39:N57)</f>
        <v>0</v>
      </c>
      <c r="O58" s="367">
        <f>SUM(O39:O57)</f>
        <v>0</v>
      </c>
      <c r="P58" s="367">
        <f>SUM(P39:P57)</f>
        <v>0</v>
      </c>
      <c r="Q58" s="367">
        <f>SUM(Q39:Q57)</f>
        <v>-1439123.2558046239</v>
      </c>
      <c r="R58" s="367">
        <f>SUM(R39:R57)</f>
        <v>172754776.68580568</v>
      </c>
      <c r="S58" s="162"/>
      <c r="T58" s="1826">
        <f>SUM(T39:T57)</f>
        <v>172113020</v>
      </c>
      <c r="U58" s="1841"/>
      <c r="V58" s="367">
        <f>SUM(V39:V57)</f>
        <v>173880832.36399996</v>
      </c>
    </row>
    <row r="59" spans="1:28" ht="16.5" thickBot="1">
      <c r="A59" s="368" t="s">
        <v>106</v>
      </c>
      <c r="B59" s="369">
        <f>B6+B7+B8+B9+B10+B11+B12+B35+B58</f>
        <v>48474350.769999996</v>
      </c>
      <c r="C59" s="369">
        <f>C6+C7+C8+C9+C10+C11+C12+C35+C58</f>
        <v>11948324.531525379</v>
      </c>
      <c r="D59" s="369">
        <f>D6+D7+D8+D9+D10+D11+D12+D35+D58</f>
        <v>13025896</v>
      </c>
      <c r="E59" s="369">
        <f>E6+E7+E8+E9+E10+E11+E12+E35+E58</f>
        <v>22100000</v>
      </c>
      <c r="F59" s="381"/>
      <c r="G59" s="369">
        <f>G6+G7+G8+G9+G10+G11+G12+G35+G58</f>
        <v>128126796.88996178</v>
      </c>
      <c r="H59" s="194">
        <f>H6+H7+H8+H11+H12+H35+H58</f>
        <v>0</v>
      </c>
      <c r="I59" s="369">
        <f>I6+I7+I8+I9+I10+I11+I12+I35+I58</f>
        <v>220567027.671018</v>
      </c>
      <c r="J59" s="194"/>
      <c r="K59" s="369">
        <f>K6+K7+K8+K9+K10+K11+K12+K35+K58</f>
        <v>-3586918.4539999999</v>
      </c>
      <c r="L59" s="369">
        <f>L6+L7+L8+L9+L10+L11+L12+L35+L58</f>
        <v>156760749.16776377</v>
      </c>
      <c r="M59" s="50"/>
      <c r="N59" s="369">
        <f>N6+N7+N8+N9+N10+N11+N12+N35+N58</f>
        <v>0</v>
      </c>
      <c r="O59" s="369">
        <f>O6+O7+O8+O9+O10+O11+O12+O35+O58</f>
        <v>0</v>
      </c>
      <c r="P59" s="369">
        <f>P6+P7+P8+P9+P10+P11+P12+P35+P58</f>
        <v>0</v>
      </c>
      <c r="Q59" s="369">
        <f>Q6+Q7+Q8+Q9+Q10+Q11+Q12+Q35+Q58</f>
        <v>0</v>
      </c>
      <c r="R59" s="369">
        <f>R6+R7+R8+R9+R10+R11+R12+R35+R58</f>
        <v>597416226.57626891</v>
      </c>
      <c r="S59" s="637"/>
      <c r="T59" s="781">
        <f>SUM(T6:T12)+T35+T58</f>
        <v>574133379.23672247</v>
      </c>
      <c r="U59" s="781">
        <v>586029252.23409998</v>
      </c>
      <c r="V59" s="369">
        <f>V6+V7+V8+V9+V10+V11+V12+V35+V58</f>
        <v>584994872.69368839</v>
      </c>
    </row>
    <row r="60" spans="1:28" ht="17.25" thickTop="1" thickBot="1">
      <c r="A60" s="172"/>
      <c r="B60" s="172"/>
      <c r="C60" s="172"/>
      <c r="D60" s="172"/>
      <c r="E60" s="172"/>
      <c r="F60" s="161"/>
      <c r="G60" s="172"/>
      <c r="H60" s="172"/>
      <c r="I60" s="172"/>
      <c r="J60" s="172"/>
      <c r="K60" s="172"/>
      <c r="L60" s="175"/>
      <c r="M60" s="172"/>
      <c r="N60" s="166"/>
      <c r="O60" s="166"/>
      <c r="P60" s="50"/>
      <c r="Q60" s="166"/>
      <c r="R60" s="50"/>
      <c r="S60" s="50"/>
      <c r="T60" s="50"/>
      <c r="U60" s="50"/>
      <c r="V60" s="50"/>
      <c r="W60" s="50"/>
    </row>
    <row r="61" spans="1:28">
      <c r="A61" s="161"/>
      <c r="B61" s="161"/>
      <c r="C61" s="163"/>
      <c r="D61" s="161"/>
      <c r="E61" s="161"/>
      <c r="F61" s="161"/>
      <c r="G61" s="161"/>
      <c r="H61" s="161"/>
      <c r="I61" s="161"/>
      <c r="J61" s="161"/>
      <c r="K61" s="161"/>
      <c r="L61" s="161"/>
      <c r="N61" s="299" t="s">
        <v>295</v>
      </c>
      <c r="O61" s="1281"/>
      <c r="P61" s="163"/>
      <c r="Q61" s="1654"/>
      <c r="R61" s="163"/>
      <c r="S61" s="163"/>
      <c r="T61" s="163"/>
      <c r="U61" s="163"/>
      <c r="V61" s="163"/>
      <c r="W61" s="163"/>
    </row>
    <row r="62" spans="1:28">
      <c r="A62" s="161"/>
      <c r="B62" s="161"/>
      <c r="C62" s="163"/>
      <c r="D62" s="161"/>
      <c r="E62" s="163"/>
      <c r="F62" s="161"/>
      <c r="G62" s="163"/>
      <c r="H62" s="161"/>
      <c r="I62" s="161"/>
      <c r="J62" s="163"/>
      <c r="K62" s="161"/>
      <c r="L62" s="161"/>
      <c r="N62" s="300" t="s">
        <v>296</v>
      </c>
      <c r="O62" s="302">
        <f>I59-'Dashboard-Academic Allocation'!E1</f>
        <v>0</v>
      </c>
      <c r="P62" s="161"/>
      <c r="Q62" s="1654"/>
      <c r="R62" s="12"/>
    </row>
    <row r="63" spans="1:28" ht="16.5" thickBot="1">
      <c r="A63" s="161"/>
      <c r="B63" s="161"/>
      <c r="C63" s="161"/>
      <c r="D63" s="161"/>
      <c r="E63" s="163"/>
      <c r="F63" s="161"/>
      <c r="G63" s="161"/>
      <c r="H63" s="161"/>
      <c r="I63" s="161"/>
      <c r="J63" s="161"/>
      <c r="K63" s="161"/>
      <c r="L63" s="161"/>
      <c r="N63" s="303"/>
      <c r="O63" s="305" t="str">
        <f>IF(O62=0,"OK","ERROR")</f>
        <v>OK</v>
      </c>
      <c r="P63" s="161"/>
      <c r="Q63" s="381"/>
      <c r="R63" s="12"/>
    </row>
    <row r="64" spans="1:28">
      <c r="A64" s="161"/>
      <c r="B64" s="161"/>
      <c r="C64" s="161"/>
      <c r="D64" s="161"/>
      <c r="E64" s="163"/>
      <c r="F64" s="161"/>
      <c r="G64" s="161"/>
      <c r="H64" s="161"/>
      <c r="I64" s="163"/>
      <c r="J64" s="163"/>
      <c r="K64" s="163"/>
      <c r="L64" s="163"/>
      <c r="M64" s="163"/>
      <c r="N64" s="161"/>
      <c r="O64" s="161"/>
      <c r="P64" s="163"/>
      <c r="Q64" s="161"/>
    </row>
    <row r="65" spans="1:27">
      <c r="A65" s="187"/>
      <c r="B65" s="187"/>
      <c r="C65" s="187"/>
      <c r="D65" s="187"/>
      <c r="E65" s="776"/>
      <c r="F65" s="187"/>
      <c r="G65" s="161"/>
      <c r="H65" s="161"/>
      <c r="I65" s="161"/>
      <c r="J65" s="161"/>
      <c r="K65" s="161"/>
      <c r="L65" s="161"/>
      <c r="M65" s="161"/>
      <c r="N65" s="163"/>
      <c r="O65" s="161"/>
      <c r="P65" s="161"/>
      <c r="Q65" s="161"/>
      <c r="Z65" s="187"/>
      <c r="AA65" s="187"/>
    </row>
    <row r="66" spans="1:27">
      <c r="A66" s="187"/>
      <c r="B66" s="187"/>
      <c r="C66" s="187"/>
      <c r="D66" s="187"/>
      <c r="E66" s="776"/>
      <c r="F66" s="187"/>
      <c r="G66" s="161"/>
      <c r="H66" s="161"/>
      <c r="I66" s="163"/>
      <c r="J66" s="163"/>
      <c r="K66" s="163"/>
      <c r="L66" s="163"/>
      <c r="M66" s="163"/>
      <c r="N66" s="163"/>
      <c r="O66" s="161"/>
      <c r="P66" s="161"/>
      <c r="Q66" s="161"/>
    </row>
    <row r="67" spans="1:27">
      <c r="G67" s="161"/>
      <c r="H67" s="161"/>
      <c r="I67" s="161"/>
      <c r="J67" s="161"/>
      <c r="K67" s="161"/>
      <c r="L67" s="161"/>
      <c r="M67" s="161"/>
      <c r="N67" s="161"/>
      <c r="O67" s="161"/>
      <c r="P67" s="161"/>
      <c r="Q67" s="161"/>
    </row>
    <row r="68" spans="1:27">
      <c r="G68" s="187"/>
      <c r="H68" s="187"/>
      <c r="I68" s="187"/>
      <c r="J68" s="187"/>
      <c r="K68" s="187"/>
      <c r="L68" s="187"/>
      <c r="M68" s="187"/>
      <c r="N68" s="776"/>
      <c r="O68" s="187"/>
      <c r="P68" s="187"/>
      <c r="Q68" s="187"/>
      <c r="R68" s="187"/>
      <c r="S68" s="187"/>
      <c r="T68" s="187"/>
      <c r="U68" s="187"/>
      <c r="V68" s="187"/>
      <c r="W68" s="187"/>
      <c r="Z68" s="187"/>
      <c r="AA68" s="187"/>
    </row>
    <row r="69" spans="1:27">
      <c r="G69" s="187"/>
      <c r="H69" s="187"/>
      <c r="I69" s="776"/>
      <c r="J69" s="187"/>
      <c r="K69" s="187"/>
      <c r="L69" s="187"/>
      <c r="M69" s="187"/>
      <c r="N69" s="187"/>
      <c r="O69" s="187"/>
      <c r="P69" s="187"/>
      <c r="Q69" s="187"/>
      <c r="R69" s="187"/>
      <c r="S69" s="187"/>
      <c r="T69" s="187"/>
      <c r="U69" s="187"/>
      <c r="V69" s="187"/>
      <c r="W69" s="187"/>
      <c r="Z69" s="187"/>
      <c r="AA69" s="187"/>
    </row>
    <row r="72" spans="1:27">
      <c r="I72" s="12"/>
    </row>
    <row r="74" spans="1:27">
      <c r="K74" s="12"/>
    </row>
  </sheetData>
  <mergeCells count="2">
    <mergeCell ref="B4:E4"/>
    <mergeCell ref="K4:L4"/>
  </mergeCells>
  <phoneticPr fontId="52" type="noConversion"/>
  <pageMargins left="0.75" right="0.75" top="1" bottom="1" header="0.5" footer="0.5"/>
  <pageSetup paperSize="3" scale="48" orientation="landscape"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W66"/>
  <sheetViews>
    <sheetView workbookViewId="0">
      <pane xSplit="1" ySplit="12" topLeftCell="B13" activePane="bottomRight" state="frozen"/>
      <selection pane="topRight" activeCell="B1" sqref="B1"/>
      <selection pane="bottomLeft" activeCell="A13" sqref="A13"/>
      <selection pane="bottomRight" activeCell="Q15" sqref="Q15"/>
    </sheetView>
  </sheetViews>
  <sheetFormatPr defaultColWidth="11" defaultRowHeight="15.75"/>
  <cols>
    <col min="1" max="1" width="30" customWidth="1"/>
    <col min="2" max="2" width="13" customWidth="1"/>
    <col min="3" max="3" width="12.375" customWidth="1"/>
    <col min="4" max="4" width="3.375" customWidth="1"/>
    <col min="5" max="5" width="12" customWidth="1"/>
    <col min="7" max="7" width="12" customWidth="1"/>
    <col min="9" max="9" width="12.625" customWidth="1"/>
    <col min="10" max="10" width="12" customWidth="1"/>
    <col min="11" max="11" width="3.125" customWidth="1"/>
    <col min="12" max="12" width="13" customWidth="1"/>
    <col min="13" max="13" width="13.75" bestFit="1" customWidth="1"/>
    <col min="14" max="14" width="13.125" customWidth="1"/>
    <col min="16" max="16" width="12.125" customWidth="1"/>
    <col min="17" max="17" width="12.375" customWidth="1"/>
    <col min="18" max="18" width="2" customWidth="1"/>
    <col min="19" max="19" width="11.875" customWidth="1"/>
    <col min="20" max="20" width="10.25" customWidth="1"/>
    <col min="23" max="23" width="12.5" bestFit="1" customWidth="1"/>
  </cols>
  <sheetData>
    <row r="1" spans="1:20">
      <c r="A1" s="169" t="s">
        <v>61</v>
      </c>
    </row>
    <row r="2" spans="1:20">
      <c r="A2" s="169" t="s">
        <v>1614</v>
      </c>
    </row>
    <row r="3" spans="1:20">
      <c r="A3" s="169" t="s">
        <v>1911</v>
      </c>
    </row>
    <row r="4" spans="1:20">
      <c r="A4" s="169"/>
    </row>
    <row r="5" spans="1:20">
      <c r="A5" s="170"/>
      <c r="E5" s="1952" t="s">
        <v>1912</v>
      </c>
      <c r="F5" s="1952"/>
      <c r="G5" s="1952"/>
      <c r="H5" s="1952"/>
      <c r="I5" s="1952"/>
      <c r="J5" s="1952"/>
      <c r="L5" s="1952" t="s">
        <v>1913</v>
      </c>
      <c r="M5" s="1952"/>
      <c r="N5" s="1952"/>
      <c r="O5" s="1952"/>
      <c r="P5" s="1952"/>
      <c r="Q5" s="1952"/>
    </row>
    <row r="6" spans="1:20" ht="39">
      <c r="A6" s="180" t="s">
        <v>68</v>
      </c>
      <c r="B6" s="1860" t="s">
        <v>1914</v>
      </c>
      <c r="C6" s="1860" t="s">
        <v>1915</v>
      </c>
      <c r="E6" s="1861" t="s">
        <v>1916</v>
      </c>
      <c r="F6" s="1861" t="s">
        <v>1917</v>
      </c>
      <c r="G6" s="1861" t="s">
        <v>1918</v>
      </c>
      <c r="H6" s="1861" t="s">
        <v>1919</v>
      </c>
      <c r="I6" s="1861" t="s">
        <v>727</v>
      </c>
      <c r="J6" s="1861" t="s">
        <v>13</v>
      </c>
      <c r="L6" s="1861" t="s">
        <v>1916</v>
      </c>
      <c r="M6" s="1861" t="s">
        <v>1917</v>
      </c>
      <c r="N6" s="1861" t="s">
        <v>1918</v>
      </c>
      <c r="O6" s="1861" t="s">
        <v>1919</v>
      </c>
      <c r="P6" s="1861" t="s">
        <v>1920</v>
      </c>
      <c r="Q6" s="1861" t="s">
        <v>1921</v>
      </c>
      <c r="S6" s="1861" t="s">
        <v>1922</v>
      </c>
      <c r="T6" s="1862" t="s">
        <v>1923</v>
      </c>
    </row>
    <row r="7" spans="1:20">
      <c r="A7" s="171" t="s">
        <v>470</v>
      </c>
      <c r="B7" s="1951">
        <v>60329649.387999997</v>
      </c>
      <c r="C7" s="1926">
        <v>55820357</v>
      </c>
      <c r="E7" s="40">
        <v>0</v>
      </c>
      <c r="F7" s="40"/>
      <c r="G7" s="40"/>
      <c r="H7" s="40"/>
      <c r="I7" s="40">
        <v>-626137</v>
      </c>
      <c r="J7" s="40">
        <v>-626137</v>
      </c>
      <c r="L7" s="40">
        <v>0</v>
      </c>
      <c r="M7" s="40"/>
      <c r="N7" s="40"/>
      <c r="O7" s="40"/>
      <c r="P7" s="40"/>
      <c r="Q7" s="40">
        <f>SUM(L7:P7)</f>
        <v>0</v>
      </c>
    </row>
    <row r="8" spans="1:20">
      <c r="A8" s="171" t="s">
        <v>477</v>
      </c>
      <c r="B8" s="1951"/>
      <c r="C8" s="1926"/>
      <c r="E8" s="40">
        <v>3405156</v>
      </c>
      <c r="F8" s="40"/>
      <c r="G8" s="40"/>
      <c r="H8" s="40"/>
      <c r="I8" s="40">
        <v>3854024</v>
      </c>
      <c r="J8" s="40">
        <v>7259180</v>
      </c>
      <c r="L8" s="40">
        <v>6572900</v>
      </c>
      <c r="M8" s="40"/>
      <c r="N8" s="40"/>
      <c r="O8" s="40"/>
      <c r="P8" s="40">
        <f>Q8-SUM(L8:O8)</f>
        <v>3222680</v>
      </c>
      <c r="Q8" s="40">
        <v>9795580</v>
      </c>
    </row>
    <row r="9" spans="1:20">
      <c r="A9" s="171" t="s">
        <v>697</v>
      </c>
      <c r="B9" s="1951"/>
      <c r="C9" s="1926"/>
      <c r="E9" s="40">
        <v>0</v>
      </c>
      <c r="F9" s="40"/>
      <c r="G9" s="40"/>
      <c r="H9" s="40"/>
      <c r="I9" s="40">
        <v>-10659942.763277592</v>
      </c>
      <c r="J9" s="40">
        <v>-10659942.763277592</v>
      </c>
      <c r="L9" s="40">
        <v>0</v>
      </c>
      <c r="M9" s="40"/>
      <c r="N9" s="40"/>
      <c r="O9" s="40"/>
      <c r="P9" s="40">
        <f t="shared" ref="P9:P13" si="0">Q9-SUM(L9:O9)</f>
        <v>-2193217.0130802859</v>
      </c>
      <c r="Q9" s="40">
        <f>+'Step 7 Final Adjustments'!R8</f>
        <v>-2193217.0130802859</v>
      </c>
    </row>
    <row r="10" spans="1:20">
      <c r="A10" s="171" t="s">
        <v>714</v>
      </c>
      <c r="B10" s="1951"/>
      <c r="C10" s="1926"/>
      <c r="E10" s="40">
        <v>10000000</v>
      </c>
      <c r="F10" s="40"/>
      <c r="G10" s="40"/>
      <c r="H10" s="40"/>
      <c r="I10" s="40">
        <v>0</v>
      </c>
      <c r="J10" s="40">
        <v>10000000</v>
      </c>
      <c r="L10" s="40">
        <v>13000000</v>
      </c>
      <c r="M10" s="40"/>
      <c r="N10" s="40"/>
      <c r="O10" s="40"/>
      <c r="P10" s="40">
        <f t="shared" si="0"/>
        <v>0</v>
      </c>
      <c r="Q10" s="40">
        <v>13000000</v>
      </c>
    </row>
    <row r="11" spans="1:20">
      <c r="A11" s="171" t="s">
        <v>471</v>
      </c>
      <c r="B11" s="1951"/>
      <c r="C11" s="1926"/>
      <c r="E11" s="40">
        <v>0</v>
      </c>
      <c r="F11" s="40"/>
      <c r="G11" s="40"/>
      <c r="H11" s="40"/>
      <c r="I11" s="40">
        <v>18178922</v>
      </c>
      <c r="J11" s="40">
        <v>18178922</v>
      </c>
      <c r="L11" s="40">
        <v>2324298</v>
      </c>
      <c r="M11" s="40"/>
      <c r="N11" s="40"/>
      <c r="O11" s="40">
        <v>93096</v>
      </c>
      <c r="P11" s="40">
        <f t="shared" si="0"/>
        <v>17319704</v>
      </c>
      <c r="Q11" s="40">
        <v>19737098</v>
      </c>
    </row>
    <row r="12" spans="1:20">
      <c r="A12" s="171" t="s">
        <v>472</v>
      </c>
      <c r="B12" s="1951"/>
      <c r="C12" s="1926"/>
      <c r="E12" s="40">
        <v>0</v>
      </c>
      <c r="F12" s="40"/>
      <c r="G12" s="40"/>
      <c r="H12" s="40"/>
      <c r="I12" s="40">
        <v>4150000</v>
      </c>
      <c r="J12" s="40">
        <v>4150000</v>
      </c>
      <c r="L12" s="40">
        <v>0</v>
      </c>
      <c r="M12" s="40"/>
      <c r="N12" s="40"/>
      <c r="O12" s="40"/>
      <c r="P12" s="40">
        <f t="shared" si="0"/>
        <v>4500000</v>
      </c>
      <c r="Q12" s="40">
        <v>4500000</v>
      </c>
    </row>
    <row r="13" spans="1:20">
      <c r="A13" s="171" t="s">
        <v>473</v>
      </c>
      <c r="B13" s="1951"/>
      <c r="C13" s="1926"/>
      <c r="E13" s="40">
        <v>0</v>
      </c>
      <c r="F13" s="40"/>
      <c r="G13" s="40"/>
      <c r="H13" s="40"/>
      <c r="I13" s="40">
        <v>26139223</v>
      </c>
      <c r="J13" s="40">
        <v>26139223</v>
      </c>
      <c r="L13" s="40">
        <v>3600000</v>
      </c>
      <c r="M13" s="40"/>
      <c r="N13" s="40"/>
      <c r="O13" s="40"/>
      <c r="P13" s="40">
        <f t="shared" si="0"/>
        <v>21461647</v>
      </c>
      <c r="Q13" s="40">
        <v>25061647</v>
      </c>
    </row>
    <row r="14" spans="1:20">
      <c r="A14" s="162"/>
      <c r="B14" s="44"/>
      <c r="E14" s="44"/>
      <c r="F14" s="44"/>
      <c r="G14" s="44"/>
      <c r="H14" s="44"/>
      <c r="I14" s="44"/>
      <c r="J14" s="44"/>
      <c r="L14" s="1838"/>
      <c r="M14" s="44"/>
      <c r="N14" s="44"/>
      <c r="O14" s="44"/>
      <c r="P14" s="44"/>
      <c r="Q14" s="44"/>
    </row>
    <row r="15" spans="1:20">
      <c r="A15" s="47" t="s">
        <v>71</v>
      </c>
      <c r="B15" s="1863"/>
      <c r="E15" s="33"/>
      <c r="F15" s="33"/>
      <c r="G15" s="33"/>
      <c r="H15" s="33"/>
      <c r="I15" s="33"/>
      <c r="J15" s="33"/>
      <c r="L15" s="33"/>
      <c r="M15" s="33"/>
      <c r="N15" s="33"/>
      <c r="O15" s="33"/>
      <c r="P15" s="1824"/>
      <c r="Q15" s="33"/>
    </row>
    <row r="16" spans="1:20">
      <c r="A16" s="1280" t="s">
        <v>1316</v>
      </c>
      <c r="E16" s="33"/>
      <c r="F16" s="33"/>
      <c r="G16" s="33"/>
      <c r="H16" s="33"/>
      <c r="I16" s="33"/>
      <c r="J16" s="1824">
        <v>0</v>
      </c>
      <c r="L16" s="33"/>
      <c r="M16" s="33"/>
      <c r="N16" s="33"/>
      <c r="O16" s="33"/>
      <c r="P16" s="1824"/>
      <c r="Q16" s="1824"/>
    </row>
    <row r="17" spans="1:23">
      <c r="A17" s="173" t="s">
        <v>72</v>
      </c>
      <c r="B17" s="40">
        <v>23973878</v>
      </c>
      <c r="C17" s="40">
        <v>24815559</v>
      </c>
      <c r="E17" s="40">
        <v>3525819.87</v>
      </c>
      <c r="F17" s="40">
        <v>7438000</v>
      </c>
      <c r="G17" s="40">
        <v>13035993.635177765</v>
      </c>
      <c r="H17" s="40">
        <v>0</v>
      </c>
      <c r="I17" s="40">
        <f>J17-SUM(E17:H17)</f>
        <v>-6572.5051777660847</v>
      </c>
      <c r="J17" s="40">
        <v>23993241</v>
      </c>
      <c r="L17" s="40">
        <v>3335587.06</v>
      </c>
      <c r="M17" s="40">
        <v>8493439.1860469915</v>
      </c>
      <c r="N17" s="40">
        <v>12908835</v>
      </c>
      <c r="O17" s="40">
        <v>0</v>
      </c>
      <c r="P17" s="40">
        <f>Q17-SUM(L17:O17)</f>
        <v>-213890.24604699016</v>
      </c>
      <c r="Q17" s="40">
        <v>24523971</v>
      </c>
      <c r="S17" s="40">
        <f t="shared" ref="S17:S36" si="1">Q17-B17</f>
        <v>550093</v>
      </c>
      <c r="T17" s="1864">
        <f t="shared" ref="T17:T36" si="2">S17/B17</f>
        <v>2.2945515948650443E-2</v>
      </c>
    </row>
    <row r="18" spans="1:23">
      <c r="A18" s="49" t="s">
        <v>73</v>
      </c>
      <c r="B18" s="44">
        <v>20462422</v>
      </c>
      <c r="C18" s="44">
        <v>20462422</v>
      </c>
      <c r="E18" s="44">
        <v>3194839.696</v>
      </c>
      <c r="F18" s="44">
        <v>4841000</v>
      </c>
      <c r="G18" s="44">
        <v>13414766.891940508</v>
      </c>
      <c r="H18" s="44">
        <v>0</v>
      </c>
      <c r="I18" s="44">
        <f t="shared" ref="I18:I35" si="3">J18-SUM(E18:H18)</f>
        <v>-6762.5879405066371</v>
      </c>
      <c r="J18" s="44">
        <v>21443844</v>
      </c>
      <c r="L18" s="44">
        <v>3042606.9741200004</v>
      </c>
      <c r="M18" s="44">
        <v>6076414.9134103637</v>
      </c>
      <c r="N18" s="44">
        <v>14206898</v>
      </c>
      <c r="O18" s="44">
        <v>0</v>
      </c>
      <c r="P18" s="44">
        <f t="shared" ref="P18:P35" si="4">Q18-SUM(L18:O18)</f>
        <v>-801682.8875303641</v>
      </c>
      <c r="Q18" s="44">
        <v>22524237</v>
      </c>
      <c r="S18" s="44">
        <f t="shared" si="1"/>
        <v>2061815</v>
      </c>
      <c r="T18" s="1865">
        <f t="shared" si="2"/>
        <v>0.10076104382951344</v>
      </c>
    </row>
    <row r="19" spans="1:23">
      <c r="A19" s="172" t="s">
        <v>74</v>
      </c>
      <c r="B19" s="44">
        <v>61306607</v>
      </c>
      <c r="C19" s="44">
        <v>64222079</v>
      </c>
      <c r="E19" s="44">
        <v>19526269.388666667</v>
      </c>
      <c r="F19" s="44">
        <v>15471000</v>
      </c>
      <c r="G19" s="44">
        <v>32049593.982078947</v>
      </c>
      <c r="H19" s="44">
        <v>0</v>
      </c>
      <c r="I19" s="44">
        <f t="shared" si="3"/>
        <v>-16157.370745614171</v>
      </c>
      <c r="J19" s="44">
        <v>67030706</v>
      </c>
      <c r="L19" s="44">
        <v>20218186.344999999</v>
      </c>
      <c r="M19" s="44">
        <v>15000000</v>
      </c>
      <c r="N19" s="44">
        <v>33192991</v>
      </c>
      <c r="O19" s="44">
        <v>0</v>
      </c>
      <c r="P19" s="44">
        <f t="shared" si="4"/>
        <v>-371503.34499999881</v>
      </c>
      <c r="Q19" s="44">
        <v>68039674</v>
      </c>
      <c r="S19" s="44">
        <f t="shared" si="1"/>
        <v>6733067</v>
      </c>
      <c r="T19" s="1865">
        <f t="shared" si="2"/>
        <v>0.10982612363460272</v>
      </c>
    </row>
    <row r="20" spans="1:23">
      <c r="A20" s="173" t="s">
        <v>75</v>
      </c>
      <c r="B20" s="40">
        <v>9355600</v>
      </c>
      <c r="C20" s="40">
        <v>9355600</v>
      </c>
      <c r="E20" s="40">
        <v>3142590.9939999999</v>
      </c>
      <c r="F20" s="40">
        <v>1489000</v>
      </c>
      <c r="G20" s="40">
        <v>4056997.468826618</v>
      </c>
      <c r="H20" s="40">
        <v>737700</v>
      </c>
      <c r="I20" s="40">
        <f t="shared" si="3"/>
        <v>-2309.4628266170621</v>
      </c>
      <c r="J20" s="40">
        <v>9423979</v>
      </c>
      <c r="L20" s="40">
        <v>2925111.3820000002</v>
      </c>
      <c r="M20" s="40">
        <v>1412447.5757823552</v>
      </c>
      <c r="N20" s="40">
        <v>4154267</v>
      </c>
      <c r="O20" s="40">
        <v>737700</v>
      </c>
      <c r="P20" s="40">
        <f t="shared" si="4"/>
        <v>20199.042217645794</v>
      </c>
      <c r="Q20" s="40">
        <v>9249725</v>
      </c>
      <c r="S20" s="40">
        <f t="shared" si="1"/>
        <v>-105875</v>
      </c>
      <c r="T20" s="1864">
        <f t="shared" si="2"/>
        <v>-1.1316751464363589E-2</v>
      </c>
    </row>
    <row r="21" spans="1:23">
      <c r="A21" s="49" t="s">
        <v>76</v>
      </c>
      <c r="B21" s="44">
        <v>20440194</v>
      </c>
      <c r="C21" s="44">
        <v>20440194</v>
      </c>
      <c r="E21" s="44">
        <v>2162025.9539999999</v>
      </c>
      <c r="F21" s="44">
        <v>3597000</v>
      </c>
      <c r="G21" s="44">
        <v>13084846.652766068</v>
      </c>
      <c r="H21" s="44">
        <v>0</v>
      </c>
      <c r="I21" s="44">
        <f t="shared" si="3"/>
        <v>1542161.3932339326</v>
      </c>
      <c r="J21" s="44">
        <v>20386034</v>
      </c>
      <c r="L21" s="44">
        <v>2429762.1524</v>
      </c>
      <c r="M21" s="44">
        <v>3862733.4298863993</v>
      </c>
      <c r="N21" s="44">
        <v>12522109</v>
      </c>
      <c r="O21" s="44">
        <v>0</v>
      </c>
      <c r="P21" s="44">
        <f t="shared" si="4"/>
        <v>1679417.4177136011</v>
      </c>
      <c r="Q21" s="44">
        <v>20494022</v>
      </c>
      <c r="S21" s="44">
        <f t="shared" si="1"/>
        <v>53828</v>
      </c>
      <c r="T21" s="1865">
        <f t="shared" si="2"/>
        <v>2.6334388019996287E-3</v>
      </c>
    </row>
    <row r="22" spans="1:23">
      <c r="A22" s="172" t="s">
        <v>77</v>
      </c>
      <c r="B22" s="44">
        <v>4806568</v>
      </c>
      <c r="C22" s="44">
        <v>4830008</v>
      </c>
      <c r="E22" s="44">
        <v>99080</v>
      </c>
      <c r="F22" s="44">
        <v>1817000</v>
      </c>
      <c r="G22" s="44">
        <v>2806529.5825457759</v>
      </c>
      <c r="H22" s="44">
        <v>245900</v>
      </c>
      <c r="I22" s="44">
        <f t="shared" si="3"/>
        <v>473496.41745422408</v>
      </c>
      <c r="J22" s="44">
        <v>5442006</v>
      </c>
      <c r="L22" s="44">
        <v>112600</v>
      </c>
      <c r="M22" s="44">
        <v>2411438.0892217942</v>
      </c>
      <c r="N22" s="44">
        <v>2791822</v>
      </c>
      <c r="O22" s="44">
        <v>245900</v>
      </c>
      <c r="P22" s="44">
        <f t="shared" si="4"/>
        <v>336911.91077820584</v>
      </c>
      <c r="Q22" s="44">
        <v>5898672</v>
      </c>
      <c r="S22" s="44">
        <f t="shared" si="1"/>
        <v>1092104</v>
      </c>
      <c r="T22" s="1865">
        <f t="shared" si="2"/>
        <v>0.22721076660103426</v>
      </c>
    </row>
    <row r="23" spans="1:23">
      <c r="A23" s="173" t="s">
        <v>78</v>
      </c>
      <c r="B23" s="40">
        <v>45894131</v>
      </c>
      <c r="C23" s="40">
        <v>45922830</v>
      </c>
      <c r="E23" s="40">
        <v>1638188.534</v>
      </c>
      <c r="F23" s="40">
        <v>13056000</v>
      </c>
      <c r="G23" s="40">
        <v>29115303.909114592</v>
      </c>
      <c r="H23" s="40">
        <v>0</v>
      </c>
      <c r="I23" s="40">
        <f t="shared" si="3"/>
        <v>285321.55688540637</v>
      </c>
      <c r="J23" s="40">
        <v>44094814</v>
      </c>
      <c r="L23" s="40">
        <v>1684488.534</v>
      </c>
      <c r="M23" s="40">
        <v>14447740</v>
      </c>
      <c r="N23" s="40">
        <v>28631187</v>
      </c>
      <c r="O23" s="40">
        <v>0</v>
      </c>
      <c r="P23" s="40">
        <f t="shared" si="4"/>
        <v>-187037.53400000185</v>
      </c>
      <c r="Q23" s="40">
        <v>44576378</v>
      </c>
      <c r="S23" s="40">
        <f t="shared" si="1"/>
        <v>-1317753</v>
      </c>
      <c r="T23" s="1864">
        <f t="shared" si="2"/>
        <v>-2.8712887057388666E-2</v>
      </c>
    </row>
    <row r="24" spans="1:23">
      <c r="A24" s="358" t="s">
        <v>5</v>
      </c>
      <c r="B24" s="44">
        <v>14831995</v>
      </c>
      <c r="C24" s="44">
        <v>14831995</v>
      </c>
      <c r="E24" s="44">
        <v>7956448.4819799997</v>
      </c>
      <c r="F24" s="44">
        <f>1385000+93000</f>
        <v>1478000</v>
      </c>
      <c r="G24" s="44">
        <f>6845660.99131437+38711+949</f>
        <v>6885320.9913143702</v>
      </c>
      <c r="H24" s="44">
        <v>2557360</v>
      </c>
      <c r="I24" s="44">
        <f t="shared" si="3"/>
        <v>-126149.47329436988</v>
      </c>
      <c r="J24" s="44">
        <v>18750980</v>
      </c>
      <c r="L24" s="44">
        <v>6485656.0779999997</v>
      </c>
      <c r="M24" s="44">
        <v>1687067.7654351695</v>
      </c>
      <c r="N24" s="44">
        <v>6730596</v>
      </c>
      <c r="O24" s="44">
        <v>2557360</v>
      </c>
      <c r="P24" s="44">
        <f t="shared" si="4"/>
        <v>-140189.84343516827</v>
      </c>
      <c r="Q24" s="44">
        <v>17320490</v>
      </c>
      <c r="S24" s="44">
        <f t="shared" si="1"/>
        <v>2488495</v>
      </c>
      <c r="T24" s="1865">
        <f t="shared" si="2"/>
        <v>0.16777884566438972</v>
      </c>
    </row>
    <row r="25" spans="1:23">
      <c r="A25" s="172" t="s">
        <v>80</v>
      </c>
      <c r="B25" s="44">
        <v>12737398</v>
      </c>
      <c r="C25" s="50">
        <v>12737398</v>
      </c>
      <c r="E25" s="50">
        <v>5640333.6859999998</v>
      </c>
      <c r="F25" s="50">
        <v>115000</v>
      </c>
      <c r="G25" s="50">
        <v>3935824.4536715425</v>
      </c>
      <c r="H25" s="50">
        <v>2881948</v>
      </c>
      <c r="I25" s="50">
        <f t="shared" si="3"/>
        <v>-3013.1396715417504</v>
      </c>
      <c r="J25" s="50">
        <v>12570093</v>
      </c>
      <c r="L25" s="50">
        <v>5812599.6086117597</v>
      </c>
      <c r="M25" s="50">
        <v>80000</v>
      </c>
      <c r="N25" s="50">
        <v>3862909</v>
      </c>
      <c r="O25" s="50">
        <v>2881948</v>
      </c>
      <c r="P25" s="44">
        <f t="shared" si="4"/>
        <v>120733.3913882412</v>
      </c>
      <c r="Q25" s="50">
        <v>12758190</v>
      </c>
      <c r="S25" s="50">
        <f t="shared" si="1"/>
        <v>20792</v>
      </c>
      <c r="T25" s="1866">
        <f t="shared" si="2"/>
        <v>1.6323585083860928E-3</v>
      </c>
    </row>
    <row r="26" spans="1:23">
      <c r="A26" s="173" t="s">
        <v>81</v>
      </c>
      <c r="B26" s="40">
        <v>41413801</v>
      </c>
      <c r="C26" s="40">
        <v>42113801</v>
      </c>
      <c r="E26" s="40">
        <v>2264188.4220000003</v>
      </c>
      <c r="F26" s="40">
        <v>6604000</v>
      </c>
      <c r="G26" s="40">
        <v>32143270.086810246</v>
      </c>
      <c r="H26" s="40">
        <v>0</v>
      </c>
      <c r="I26" s="40">
        <f t="shared" si="3"/>
        <v>2653021.4911897555</v>
      </c>
      <c r="J26" s="40">
        <v>43664480</v>
      </c>
      <c r="L26" s="40">
        <v>2282708.4219999998</v>
      </c>
      <c r="M26" s="40">
        <v>7300000</v>
      </c>
      <c r="N26" s="40">
        <v>33070324</v>
      </c>
      <c r="O26" s="40">
        <v>0</v>
      </c>
      <c r="P26" s="40">
        <f t="shared" si="4"/>
        <v>2274724.5780000016</v>
      </c>
      <c r="Q26" s="40">
        <v>44927757</v>
      </c>
      <c r="S26" s="40">
        <f t="shared" si="1"/>
        <v>3513956</v>
      </c>
      <c r="T26" s="1864">
        <f t="shared" si="2"/>
        <v>8.4849878908724169E-2</v>
      </c>
      <c r="V26" s="1875" t="s">
        <v>1929</v>
      </c>
      <c r="W26" s="12">
        <f>SUM(Q17:Q29)</f>
        <v>300786589</v>
      </c>
    </row>
    <row r="27" spans="1:23">
      <c r="A27" s="172" t="s">
        <v>82</v>
      </c>
      <c r="B27" s="44">
        <v>24909417</v>
      </c>
      <c r="C27" s="50">
        <v>24909417</v>
      </c>
      <c r="E27" s="50">
        <v>16238825.810000001</v>
      </c>
      <c r="F27" s="50">
        <v>0</v>
      </c>
      <c r="G27" s="50">
        <v>2813403.9503858928</v>
      </c>
      <c r="H27" s="50">
        <v>7091756</v>
      </c>
      <c r="I27" s="50">
        <f t="shared" si="3"/>
        <v>116876.23961410671</v>
      </c>
      <c r="J27" s="50">
        <v>26260862</v>
      </c>
      <c r="L27" s="50">
        <v>17273512.227632001</v>
      </c>
      <c r="M27" s="50">
        <v>0</v>
      </c>
      <c r="N27" s="50">
        <v>2871876</v>
      </c>
      <c r="O27" s="50">
        <v>7091756</v>
      </c>
      <c r="P27" s="44">
        <f t="shared" si="4"/>
        <v>202760.77236799896</v>
      </c>
      <c r="Q27" s="50">
        <v>27439905</v>
      </c>
      <c r="S27" s="50">
        <f t="shared" si="1"/>
        <v>2530488</v>
      </c>
      <c r="T27" s="1866">
        <f t="shared" si="2"/>
        <v>0.10158760439877015</v>
      </c>
      <c r="V27" s="1875" t="s">
        <v>349</v>
      </c>
      <c r="W27" s="12">
        <f>Q34</f>
        <v>15181209</v>
      </c>
    </row>
    <row r="28" spans="1:23">
      <c r="A28" s="172" t="s">
        <v>83</v>
      </c>
      <c r="B28" s="44">
        <v>543366</v>
      </c>
      <c r="C28" s="44">
        <v>543366</v>
      </c>
      <c r="E28" s="44">
        <v>0</v>
      </c>
      <c r="F28" s="44">
        <v>0</v>
      </c>
      <c r="G28" s="44">
        <v>0</v>
      </c>
      <c r="H28" s="44">
        <v>0</v>
      </c>
      <c r="I28" s="44">
        <f t="shared" si="3"/>
        <v>0</v>
      </c>
      <c r="J28" s="44">
        <v>0</v>
      </c>
      <c r="L28" s="44">
        <v>0</v>
      </c>
      <c r="M28" s="44">
        <v>0</v>
      </c>
      <c r="N28" s="44">
        <v>0</v>
      </c>
      <c r="O28" s="44">
        <v>0</v>
      </c>
      <c r="P28" s="44">
        <v>0</v>
      </c>
      <c r="Q28" s="44">
        <v>0</v>
      </c>
      <c r="S28" s="44">
        <f t="shared" si="1"/>
        <v>-543366</v>
      </c>
      <c r="T28" s="1865">
        <f t="shared" si="2"/>
        <v>-1</v>
      </c>
      <c r="V28" s="1875" t="s">
        <v>1930</v>
      </c>
      <c r="W28" s="12">
        <f>Q35+Q33</f>
        <v>11939805</v>
      </c>
    </row>
    <row r="29" spans="1:23">
      <c r="A29" s="173" t="s">
        <v>84</v>
      </c>
      <c r="B29" s="40">
        <v>2839964</v>
      </c>
      <c r="C29" s="40">
        <v>2839964</v>
      </c>
      <c r="E29" s="40">
        <v>1595880</v>
      </c>
      <c r="F29" s="40">
        <v>1000</v>
      </c>
      <c r="G29" s="40">
        <v>1803609.074371215</v>
      </c>
      <c r="H29" s="40">
        <v>0</v>
      </c>
      <c r="I29" s="40">
        <f t="shared" si="3"/>
        <v>-400909.07437121496</v>
      </c>
      <c r="J29" s="40">
        <v>2999580</v>
      </c>
      <c r="L29" s="40">
        <v>1988059.38</v>
      </c>
      <c r="M29" s="40">
        <v>14670.080998081467</v>
      </c>
      <c r="N29" s="40">
        <v>827297</v>
      </c>
      <c r="O29" s="40">
        <v>230000</v>
      </c>
      <c r="P29" s="40">
        <f t="shared" si="4"/>
        <v>-26458.460998081602</v>
      </c>
      <c r="Q29" s="40">
        <v>3033568</v>
      </c>
      <c r="S29" s="40">
        <f t="shared" si="1"/>
        <v>193604</v>
      </c>
      <c r="T29" s="1864">
        <f t="shared" si="2"/>
        <v>6.8171286678281831E-2</v>
      </c>
      <c r="V29" s="1875" t="s">
        <v>65</v>
      </c>
      <c r="W29" s="12">
        <f>Q30</f>
        <v>20828782</v>
      </c>
    </row>
    <row r="30" spans="1:23">
      <c r="A30" s="49" t="s">
        <v>86</v>
      </c>
      <c r="B30" s="44">
        <v>18786975</v>
      </c>
      <c r="C30" s="50">
        <v>18786975</v>
      </c>
      <c r="E30" s="50">
        <v>20115497</v>
      </c>
      <c r="F30" s="50">
        <v>0</v>
      </c>
      <c r="G30" s="50">
        <v>0</v>
      </c>
      <c r="H30" s="50">
        <v>0</v>
      </c>
      <c r="I30" s="50">
        <f t="shared" si="3"/>
        <v>-294120</v>
      </c>
      <c r="J30" s="50">
        <v>19821377</v>
      </c>
      <c r="L30" s="50">
        <v>21222276</v>
      </c>
      <c r="M30" s="50">
        <v>0</v>
      </c>
      <c r="N30" s="50">
        <v>0</v>
      </c>
      <c r="O30" s="50">
        <v>0</v>
      </c>
      <c r="P30" s="44">
        <f t="shared" si="4"/>
        <v>-393494</v>
      </c>
      <c r="Q30" s="50">
        <v>20828782</v>
      </c>
      <c r="S30" s="50">
        <f t="shared" si="1"/>
        <v>2041807</v>
      </c>
      <c r="T30" s="1866">
        <f t="shared" si="2"/>
        <v>0.10868205232614617</v>
      </c>
      <c r="V30" s="1875"/>
    </row>
    <row r="31" spans="1:23">
      <c r="A31" s="172" t="s">
        <v>87</v>
      </c>
      <c r="B31" s="44">
        <v>3296000</v>
      </c>
      <c r="C31" s="44">
        <v>3296000</v>
      </c>
      <c r="E31" s="44">
        <v>3440000</v>
      </c>
      <c r="F31" s="44">
        <v>0</v>
      </c>
      <c r="G31" s="44">
        <v>0</v>
      </c>
      <c r="H31" s="44">
        <v>0</v>
      </c>
      <c r="I31" s="44">
        <f t="shared" si="3"/>
        <v>0</v>
      </c>
      <c r="J31" s="44">
        <v>3440000</v>
      </c>
      <c r="L31" s="44">
        <v>5263200</v>
      </c>
      <c r="M31" s="44">
        <v>0</v>
      </c>
      <c r="N31" s="44">
        <v>0</v>
      </c>
      <c r="O31" s="44">
        <v>0</v>
      </c>
      <c r="P31" s="44">
        <f t="shared" si="4"/>
        <v>-45507</v>
      </c>
      <c r="Q31" s="44">
        <v>5217693</v>
      </c>
      <c r="S31" s="44">
        <f t="shared" si="1"/>
        <v>1921693</v>
      </c>
      <c r="T31" s="1865">
        <f t="shared" si="2"/>
        <v>0.58303792475728156</v>
      </c>
      <c r="V31" s="1875" t="s">
        <v>1931</v>
      </c>
    </row>
    <row r="32" spans="1:23">
      <c r="A32" s="359" t="s">
        <v>452</v>
      </c>
      <c r="B32" s="40">
        <v>4706010</v>
      </c>
      <c r="C32" s="221">
        <v>4706010</v>
      </c>
      <c r="E32" s="221">
        <v>3241</v>
      </c>
      <c r="F32" s="221">
        <v>0</v>
      </c>
      <c r="G32" s="221">
        <v>0</v>
      </c>
      <c r="H32" s="221">
        <v>0</v>
      </c>
      <c r="I32" s="221">
        <f t="shared" si="3"/>
        <v>813296</v>
      </c>
      <c r="J32" s="221">
        <v>816537</v>
      </c>
      <c r="L32" s="221">
        <v>0</v>
      </c>
      <c r="M32" s="221"/>
      <c r="N32" s="221">
        <v>0</v>
      </c>
      <c r="O32" s="221">
        <v>0</v>
      </c>
      <c r="P32" s="40">
        <f t="shared" si="4"/>
        <v>806264</v>
      </c>
      <c r="Q32" s="221">
        <v>806264</v>
      </c>
      <c r="S32" s="221">
        <f t="shared" si="1"/>
        <v>-3899746</v>
      </c>
      <c r="T32" s="1867">
        <f t="shared" si="2"/>
        <v>-0.82867354723003139</v>
      </c>
      <c r="V32" s="1875" t="s">
        <v>1932</v>
      </c>
    </row>
    <row r="33" spans="1:23">
      <c r="A33" s="358" t="s">
        <v>1924</v>
      </c>
      <c r="B33" s="44">
        <v>838394</v>
      </c>
      <c r="C33" s="50">
        <v>838394</v>
      </c>
      <c r="E33" s="50">
        <v>0</v>
      </c>
      <c r="F33" s="50">
        <v>358000</v>
      </c>
      <c r="G33" s="50">
        <v>993156.52897323621</v>
      </c>
      <c r="H33" s="50">
        <v>0</v>
      </c>
      <c r="I33" s="50">
        <f t="shared" si="3"/>
        <v>-393549.52897323621</v>
      </c>
      <c r="J33" s="50">
        <v>957607</v>
      </c>
      <c r="L33" s="50">
        <v>0</v>
      </c>
      <c r="M33" s="50">
        <v>370497.19761718827</v>
      </c>
      <c r="N33" s="50">
        <v>784915</v>
      </c>
      <c r="O33" s="50">
        <v>0</v>
      </c>
      <c r="P33" s="44">
        <f t="shared" si="4"/>
        <v>-189990.19761718833</v>
      </c>
      <c r="Q33" s="50">
        <v>965422</v>
      </c>
      <c r="S33" s="50">
        <f t="shared" si="1"/>
        <v>127028</v>
      </c>
      <c r="T33" s="1866">
        <f t="shared" si="2"/>
        <v>0.15151348888470098</v>
      </c>
      <c r="V33" s="1875" t="s">
        <v>334</v>
      </c>
      <c r="W33" s="12">
        <f>Q43</f>
        <v>2925680</v>
      </c>
    </row>
    <row r="34" spans="1:23">
      <c r="A34" s="172" t="s">
        <v>88</v>
      </c>
      <c r="B34" s="177">
        <v>14579961</v>
      </c>
      <c r="C34" s="44">
        <v>14579961</v>
      </c>
      <c r="E34" s="44">
        <v>2857850.0040000002</v>
      </c>
      <c r="F34" s="44">
        <v>0</v>
      </c>
      <c r="G34" s="44">
        <v>3133.2060530932281</v>
      </c>
      <c r="H34" s="44">
        <v>0</v>
      </c>
      <c r="I34" s="44">
        <f t="shared" si="3"/>
        <v>12114167.789946906</v>
      </c>
      <c r="J34" s="44">
        <v>14975151</v>
      </c>
      <c r="L34" s="44">
        <v>2877712.28</v>
      </c>
      <c r="M34" s="44"/>
      <c r="N34" s="44">
        <v>1809</v>
      </c>
      <c r="O34" s="44">
        <v>0</v>
      </c>
      <c r="P34" s="44">
        <f t="shared" si="4"/>
        <v>12301687.720000001</v>
      </c>
      <c r="Q34" s="44">
        <v>15181209</v>
      </c>
      <c r="S34" s="44">
        <f t="shared" si="1"/>
        <v>601248</v>
      </c>
      <c r="T34" s="1865">
        <f t="shared" si="2"/>
        <v>4.1237970389632728E-2</v>
      </c>
      <c r="V34" s="1875" t="s">
        <v>1450</v>
      </c>
      <c r="W34" s="12">
        <f>Q47</f>
        <v>24839940</v>
      </c>
    </row>
    <row r="35" spans="1:23">
      <c r="A35" s="359" t="s">
        <v>1925</v>
      </c>
      <c r="B35" s="221">
        <v>11354044</v>
      </c>
      <c r="C35" s="221">
        <v>11354044</v>
      </c>
      <c r="E35" s="221">
        <v>2258185.12824</v>
      </c>
      <c r="F35" s="221">
        <v>0</v>
      </c>
      <c r="G35" s="221">
        <v>830102.37784573087</v>
      </c>
      <c r="H35" s="221">
        <v>8262240</v>
      </c>
      <c r="I35" s="221">
        <f t="shared" si="3"/>
        <v>157295.49391426891</v>
      </c>
      <c r="J35" s="221">
        <v>11507823</v>
      </c>
      <c r="L35" s="221">
        <v>1978017.808</v>
      </c>
      <c r="M35" s="221"/>
      <c r="N35" s="221">
        <v>829841</v>
      </c>
      <c r="O35" s="221">
        <v>8262240</v>
      </c>
      <c r="P35" s="40">
        <f t="shared" si="4"/>
        <v>-95715.808000000194</v>
      </c>
      <c r="Q35" s="221">
        <v>10974383</v>
      </c>
      <c r="S35" s="221">
        <f t="shared" si="1"/>
        <v>-379661</v>
      </c>
      <c r="T35" s="1867">
        <f t="shared" si="2"/>
        <v>-3.343839428489092E-2</v>
      </c>
      <c r="V35" s="1875"/>
    </row>
    <row r="36" spans="1:23">
      <c r="A36" s="362" t="s">
        <v>90</v>
      </c>
      <c r="B36" s="1868">
        <v>337076725</v>
      </c>
      <c r="C36" s="1869">
        <f>SUM(C17:C35)</f>
        <v>341586017</v>
      </c>
      <c r="E36" s="1869">
        <f>SUM(E17:E35)</f>
        <v>95659263.968886659</v>
      </c>
      <c r="F36" s="1869">
        <f t="shared" ref="F36:J36" si="5">SUM(F17:F35)</f>
        <v>56265000</v>
      </c>
      <c r="G36" s="1869">
        <f t="shared" si="5"/>
        <v>156971852.7918756</v>
      </c>
      <c r="H36" s="1869">
        <f t="shared" si="5"/>
        <v>21776904</v>
      </c>
      <c r="I36" s="1869">
        <f t="shared" si="5"/>
        <v>16906093.239237733</v>
      </c>
      <c r="J36" s="1869">
        <f t="shared" si="5"/>
        <v>347579114</v>
      </c>
      <c r="L36" s="1869">
        <f>SUM(L17:L35)</f>
        <v>98932084.251763761</v>
      </c>
      <c r="M36" s="1869">
        <f t="shared" ref="M36:P36" si="6">SUM(M17:M35)</f>
        <v>61156448.238398336</v>
      </c>
      <c r="N36" s="1869">
        <f t="shared" si="6"/>
        <v>157387676</v>
      </c>
      <c r="O36" s="1869">
        <f t="shared" si="6"/>
        <v>22006904</v>
      </c>
      <c r="P36" s="1869">
        <f t="shared" si="6"/>
        <v>15277229.509837901</v>
      </c>
      <c r="Q36" s="1869">
        <f>SUM(Q17:Q35)</f>
        <v>354760342</v>
      </c>
      <c r="S36" s="1869">
        <f t="shared" si="1"/>
        <v>17683617</v>
      </c>
      <c r="T36" s="1870">
        <f t="shared" si="2"/>
        <v>5.2461696962316222E-2</v>
      </c>
      <c r="V36" s="1875" t="s">
        <v>1933</v>
      </c>
      <c r="W36" s="12">
        <f>+Q53</f>
        <v>30873619</v>
      </c>
    </row>
    <row r="37" spans="1:23">
      <c r="A37" s="172"/>
      <c r="B37" s="44"/>
      <c r="C37" s="42"/>
      <c r="E37" s="42"/>
      <c r="F37" s="42"/>
      <c r="G37" s="42"/>
      <c r="H37" s="42"/>
      <c r="I37" s="42"/>
      <c r="J37" s="42"/>
      <c r="L37" s="42"/>
      <c r="M37" s="42"/>
      <c r="N37" s="42"/>
      <c r="O37" s="42"/>
      <c r="P37" s="42"/>
      <c r="Q37" s="46"/>
      <c r="S37" s="42"/>
      <c r="T37" s="1871"/>
      <c r="V37" s="1875" t="s">
        <v>1934</v>
      </c>
      <c r="W37" s="12">
        <f>+Q54+Q56+Q57</f>
        <v>33599407</v>
      </c>
    </row>
    <row r="38" spans="1:23">
      <c r="A38" s="49" t="s">
        <v>91</v>
      </c>
      <c r="C38" s="50"/>
      <c r="E38" s="50"/>
      <c r="F38" s="50"/>
      <c r="G38" s="1839"/>
      <c r="H38" s="50"/>
      <c r="I38" s="50"/>
      <c r="J38" s="50"/>
      <c r="L38" s="50"/>
      <c r="M38" s="50"/>
      <c r="N38" s="1839"/>
      <c r="O38" s="50"/>
      <c r="P38" s="50"/>
      <c r="Q38" s="50"/>
      <c r="S38" s="50"/>
      <c r="T38" s="1866"/>
      <c r="V38" s="1875"/>
    </row>
    <row r="39" spans="1:23">
      <c r="A39" s="173" t="s">
        <v>92</v>
      </c>
      <c r="B39" s="221">
        <v>8383602</v>
      </c>
      <c r="C39" s="40">
        <v>8383602</v>
      </c>
      <c r="E39" s="40">
        <v>0</v>
      </c>
      <c r="F39" s="40">
        <v>0</v>
      </c>
      <c r="G39" s="40">
        <v>11.270987400698168</v>
      </c>
      <c r="H39" s="40"/>
      <c r="I39" s="40">
        <f t="shared" ref="I39:I57" si="7">J39-SUM(E39:H39)</f>
        <v>8919511.7290125992</v>
      </c>
      <c r="J39" s="40">
        <v>8919523</v>
      </c>
      <c r="L39" s="40">
        <v>0</v>
      </c>
      <c r="M39" s="40"/>
      <c r="N39" s="40">
        <v>7.3190469652149215</v>
      </c>
      <c r="O39" s="40"/>
      <c r="P39" s="40">
        <f t="shared" ref="P39:P57" si="8">Q39-SUM(L39:O39)</f>
        <v>8903094.6809530351</v>
      </c>
      <c r="Q39" s="40">
        <v>8903102</v>
      </c>
      <c r="S39" s="40">
        <f t="shared" ref="S39:S59" si="9">Q39-B39</f>
        <v>519500</v>
      </c>
      <c r="T39" s="1864">
        <f>S39/B39</f>
        <v>6.1966204979673416E-2</v>
      </c>
      <c r="V39" s="1875" t="s">
        <v>1935</v>
      </c>
      <c r="W39" s="12">
        <f>Q50</f>
        <v>8081657</v>
      </c>
    </row>
    <row r="40" spans="1:23">
      <c r="A40" s="1319" t="s">
        <v>336</v>
      </c>
      <c r="C40" s="50">
        <v>5500000</v>
      </c>
      <c r="E40" s="50">
        <v>0</v>
      </c>
      <c r="F40" s="50">
        <v>0</v>
      </c>
      <c r="G40" s="50">
        <v>0</v>
      </c>
      <c r="H40" s="50"/>
      <c r="I40" s="50">
        <f t="shared" si="7"/>
        <v>7177760</v>
      </c>
      <c r="J40" s="50">
        <v>7177760</v>
      </c>
      <c r="L40" s="50">
        <v>0</v>
      </c>
      <c r="M40" s="50"/>
      <c r="N40" s="50">
        <v>0</v>
      </c>
      <c r="O40" s="50"/>
      <c r="P40" s="44">
        <f>Q40-SUM(L40:O40)</f>
        <v>7750000</v>
      </c>
      <c r="Q40" s="50">
        <f>+'Step 7 Final Adjustments'!R40</f>
        <v>7750000</v>
      </c>
      <c r="S40" s="50">
        <f t="shared" si="9"/>
        <v>7750000</v>
      </c>
      <c r="T40" s="1866"/>
      <c r="V40" s="1875" t="s">
        <v>1936</v>
      </c>
      <c r="W40" s="12">
        <f>Q31</f>
        <v>5217693</v>
      </c>
    </row>
    <row r="41" spans="1:23">
      <c r="A41" s="172" t="s">
        <v>93</v>
      </c>
      <c r="B41" s="44">
        <v>4019773</v>
      </c>
      <c r="C41" s="50">
        <v>4019773</v>
      </c>
      <c r="E41" s="50">
        <v>0</v>
      </c>
      <c r="F41" s="50">
        <v>0</v>
      </c>
      <c r="G41" s="50">
        <v>0</v>
      </c>
      <c r="H41" s="50"/>
      <c r="I41" s="50">
        <f t="shared" si="7"/>
        <v>4081953</v>
      </c>
      <c r="J41" s="50">
        <v>4081953</v>
      </c>
      <c r="L41" s="50">
        <v>8334</v>
      </c>
      <c r="M41" s="50"/>
      <c r="N41" s="50">
        <v>0</v>
      </c>
      <c r="O41" s="50"/>
      <c r="P41" s="44">
        <f t="shared" si="8"/>
        <v>4163765</v>
      </c>
      <c r="Q41" s="50">
        <v>4172099</v>
      </c>
      <c r="S41" s="50">
        <f t="shared" si="9"/>
        <v>152326</v>
      </c>
      <c r="T41" s="1866">
        <f t="shared" ref="T41:T59" si="10">S41/B41</f>
        <v>3.7894179596708572E-2</v>
      </c>
      <c r="V41" s="1875"/>
    </row>
    <row r="42" spans="1:23">
      <c r="A42" s="49" t="s">
        <v>94</v>
      </c>
      <c r="B42" s="44">
        <v>1435806</v>
      </c>
      <c r="C42" s="50">
        <v>1435806</v>
      </c>
      <c r="E42" s="50">
        <v>0</v>
      </c>
      <c r="F42" s="50">
        <v>0</v>
      </c>
      <c r="G42" s="50">
        <v>0</v>
      </c>
      <c r="H42" s="50"/>
      <c r="I42" s="50">
        <f t="shared" si="7"/>
        <v>1512825</v>
      </c>
      <c r="J42" s="50">
        <v>1512825</v>
      </c>
      <c r="L42" s="50">
        <v>0</v>
      </c>
      <c r="M42" s="50"/>
      <c r="N42" s="50">
        <v>0</v>
      </c>
      <c r="O42" s="50"/>
      <c r="P42" s="44">
        <f t="shared" si="8"/>
        <v>987144</v>
      </c>
      <c r="Q42" s="50">
        <v>987144</v>
      </c>
      <c r="S42" s="50">
        <f t="shared" si="9"/>
        <v>-448662</v>
      </c>
      <c r="T42" s="1866">
        <f t="shared" si="10"/>
        <v>-0.31248093405376492</v>
      </c>
      <c r="V42" s="1875" t="s">
        <v>336</v>
      </c>
      <c r="W42" s="12">
        <f>Q40</f>
        <v>7750000</v>
      </c>
    </row>
    <row r="43" spans="1:23">
      <c r="A43" s="173" t="s">
        <v>95</v>
      </c>
      <c r="B43" s="40">
        <v>8453610</v>
      </c>
      <c r="C43" s="40">
        <f>8453610-C40</f>
        <v>2953610</v>
      </c>
      <c r="E43" s="40">
        <v>0</v>
      </c>
      <c r="F43" s="40">
        <v>0</v>
      </c>
      <c r="G43" s="40">
        <v>0</v>
      </c>
      <c r="H43" s="40"/>
      <c r="I43" s="40">
        <f t="shared" si="7"/>
        <v>2951197</v>
      </c>
      <c r="J43" s="40">
        <v>2951197</v>
      </c>
      <c r="L43" s="40">
        <v>0</v>
      </c>
      <c r="M43" s="40"/>
      <c r="N43" s="40">
        <v>0</v>
      </c>
      <c r="O43" s="40"/>
      <c r="P43" s="40">
        <f t="shared" si="8"/>
        <v>2925680</v>
      </c>
      <c r="Q43" s="40">
        <v>2925680</v>
      </c>
      <c r="S43" s="40">
        <f t="shared" si="9"/>
        <v>-5527930</v>
      </c>
      <c r="T43" s="1864">
        <f t="shared" si="10"/>
        <v>-0.65391353516426709</v>
      </c>
      <c r="V43" s="1875"/>
    </row>
    <row r="44" spans="1:23">
      <c r="A44" s="172" t="s">
        <v>96</v>
      </c>
      <c r="B44" s="50">
        <v>9724870</v>
      </c>
      <c r="C44" s="50">
        <v>9724870</v>
      </c>
      <c r="E44" s="50">
        <v>3055800</v>
      </c>
      <c r="F44" s="50">
        <v>0</v>
      </c>
      <c r="G44" s="50">
        <v>44327.798003614211</v>
      </c>
      <c r="H44" s="50"/>
      <c r="I44" s="50">
        <f t="shared" si="7"/>
        <v>7431192.2019963861</v>
      </c>
      <c r="J44" s="50">
        <v>10531320</v>
      </c>
      <c r="L44" s="50">
        <v>3102100</v>
      </c>
      <c r="M44" s="50"/>
      <c r="N44" s="50">
        <v>44542</v>
      </c>
      <c r="O44" s="50"/>
      <c r="P44" s="44">
        <f t="shared" si="8"/>
        <v>7865108</v>
      </c>
      <c r="Q44" s="50">
        <v>11011750</v>
      </c>
      <c r="S44" s="50">
        <f t="shared" si="9"/>
        <v>1286880</v>
      </c>
      <c r="T44" s="1866">
        <f t="shared" si="10"/>
        <v>0.13232876120709069</v>
      </c>
      <c r="V44" s="1875" t="s">
        <v>1937</v>
      </c>
      <c r="W44" s="12">
        <f>SUM(Q7:Q13)</f>
        <v>69901107.986919716</v>
      </c>
    </row>
    <row r="45" spans="1:23">
      <c r="A45" s="358" t="s">
        <v>474</v>
      </c>
      <c r="B45" s="50">
        <v>5000049</v>
      </c>
      <c r="C45" s="50">
        <v>5000049</v>
      </c>
      <c r="E45" s="50">
        <v>2941161</v>
      </c>
      <c r="F45" s="50">
        <f>186000</f>
        <v>186000</v>
      </c>
      <c r="G45" s="50">
        <f>140332+318300+632+1629</f>
        <v>460893</v>
      </c>
      <c r="H45" s="50"/>
      <c r="I45" s="50">
        <f t="shared" si="7"/>
        <v>2793207</v>
      </c>
      <c r="J45" s="50">
        <v>6381261</v>
      </c>
      <c r="L45" s="50">
        <v>1773290</v>
      </c>
      <c r="M45" s="50">
        <v>122753.29593494974</v>
      </c>
      <c r="N45" s="50">
        <v>478982</v>
      </c>
      <c r="O45" s="50"/>
      <c r="P45" s="44">
        <f t="shared" si="8"/>
        <v>2792720.70406505</v>
      </c>
      <c r="Q45" s="50">
        <v>5167746</v>
      </c>
      <c r="S45" s="50">
        <f t="shared" si="9"/>
        <v>167697</v>
      </c>
      <c r="T45" s="1866">
        <f t="shared" si="10"/>
        <v>3.3539071317101092E-2</v>
      </c>
      <c r="W45" s="12">
        <f>SUM(W26:W44)</f>
        <v>531925488.9869197</v>
      </c>
    </row>
    <row r="46" spans="1:23">
      <c r="A46" s="172" t="s">
        <v>97</v>
      </c>
      <c r="B46" s="50">
        <v>3643184</v>
      </c>
      <c r="C46" s="50">
        <v>3643184</v>
      </c>
      <c r="E46" s="50">
        <v>43522</v>
      </c>
      <c r="F46" s="50">
        <v>0</v>
      </c>
      <c r="G46" s="50">
        <v>4485.8529854778708</v>
      </c>
      <c r="H46" s="50"/>
      <c r="I46" s="50">
        <f t="shared" si="7"/>
        <v>1856605.1470145222</v>
      </c>
      <c r="J46" s="50">
        <v>1904613</v>
      </c>
      <c r="L46" s="50">
        <v>46300</v>
      </c>
      <c r="M46" s="50"/>
      <c r="N46" s="50">
        <v>4935</v>
      </c>
      <c r="O46" s="50"/>
      <c r="P46" s="44">
        <f t="shared" si="8"/>
        <v>2045215</v>
      </c>
      <c r="Q46" s="50">
        <v>2096450</v>
      </c>
      <c r="S46" s="50">
        <f t="shared" si="9"/>
        <v>-1546734</v>
      </c>
      <c r="T46" s="1866">
        <f t="shared" si="10"/>
        <v>-0.42455555360366098</v>
      </c>
    </row>
    <row r="47" spans="1:23">
      <c r="A47" s="173" t="s">
        <v>98</v>
      </c>
      <c r="B47" s="40">
        <v>19774660</v>
      </c>
      <c r="C47" s="40">
        <v>19774660</v>
      </c>
      <c r="E47" s="40">
        <v>2631856</v>
      </c>
      <c r="F47" s="40">
        <v>0</v>
      </c>
      <c r="G47" s="40">
        <v>5389.8439749492527</v>
      </c>
      <c r="H47" s="40"/>
      <c r="I47" s="40">
        <f t="shared" si="7"/>
        <v>21133311.156025052</v>
      </c>
      <c r="J47" s="40">
        <v>23770557</v>
      </c>
      <c r="L47" s="40">
        <v>2816800</v>
      </c>
      <c r="M47" s="40"/>
      <c r="N47" s="40">
        <v>603</v>
      </c>
      <c r="O47" s="40"/>
      <c r="P47" s="40">
        <f t="shared" si="8"/>
        <v>22022537</v>
      </c>
      <c r="Q47" s="40">
        <v>24839940</v>
      </c>
      <c r="S47" s="40">
        <f t="shared" si="9"/>
        <v>5065280</v>
      </c>
      <c r="T47" s="1864">
        <f t="shared" si="10"/>
        <v>0.25615004252917623</v>
      </c>
    </row>
    <row r="48" spans="1:23">
      <c r="A48" s="172" t="s">
        <v>475</v>
      </c>
      <c r="B48" s="50">
        <v>4501875</v>
      </c>
      <c r="C48" s="50">
        <v>4501875</v>
      </c>
      <c r="E48" s="50">
        <v>1494900</v>
      </c>
      <c r="F48" s="50">
        <v>0</v>
      </c>
      <c r="G48" s="50">
        <v>0</v>
      </c>
      <c r="H48" s="50"/>
      <c r="I48" s="50">
        <f t="shared" si="7"/>
        <v>3483977</v>
      </c>
      <c r="J48" s="50">
        <v>4978877</v>
      </c>
      <c r="L48" s="50">
        <v>1410900</v>
      </c>
      <c r="M48" s="50"/>
      <c r="N48" s="50">
        <v>0</v>
      </c>
      <c r="O48" s="50"/>
      <c r="P48" s="44">
        <f t="shared" si="8"/>
        <v>3421877</v>
      </c>
      <c r="Q48" s="50">
        <v>4832777</v>
      </c>
      <c r="S48" s="50">
        <f t="shared" si="9"/>
        <v>330902</v>
      </c>
      <c r="T48" s="1866">
        <f t="shared" si="10"/>
        <v>7.3503151464667502E-2</v>
      </c>
    </row>
    <row r="49" spans="1:20">
      <c r="A49" s="49" t="s">
        <v>85</v>
      </c>
      <c r="B49" s="50">
        <v>1522413</v>
      </c>
      <c r="C49" s="50">
        <v>1522413</v>
      </c>
      <c r="E49" s="50">
        <v>0</v>
      </c>
      <c r="F49" s="50">
        <v>0</v>
      </c>
      <c r="G49" s="50">
        <v>14737.634858830854</v>
      </c>
      <c r="H49" s="50"/>
      <c r="I49" s="50">
        <f t="shared" si="7"/>
        <v>1493118.3651411692</v>
      </c>
      <c r="J49" s="50">
        <v>1507856</v>
      </c>
      <c r="L49" s="50">
        <v>41670</v>
      </c>
      <c r="M49" s="50"/>
      <c r="N49" s="50">
        <v>11214</v>
      </c>
      <c r="O49" s="50"/>
      <c r="P49" s="44">
        <f t="shared" si="8"/>
        <v>1479408</v>
      </c>
      <c r="Q49" s="50">
        <v>1532292</v>
      </c>
      <c r="S49" s="50">
        <f t="shared" si="9"/>
        <v>9879</v>
      </c>
      <c r="T49" s="1866">
        <f t="shared" si="10"/>
        <v>6.4890407530676627E-3</v>
      </c>
    </row>
    <row r="50" spans="1:20">
      <c r="A50" s="359" t="s">
        <v>99</v>
      </c>
      <c r="B50" s="222">
        <v>7580439</v>
      </c>
      <c r="C50" s="222">
        <v>7580439</v>
      </c>
      <c r="E50" s="222">
        <v>3440000</v>
      </c>
      <c r="F50" s="222">
        <v>0</v>
      </c>
      <c r="G50" s="222">
        <v>0</v>
      </c>
      <c r="H50" s="222"/>
      <c r="I50" s="222">
        <f t="shared" si="7"/>
        <v>4493343</v>
      </c>
      <c r="J50" s="222">
        <v>7933343</v>
      </c>
      <c r="L50" s="222">
        <v>3658800</v>
      </c>
      <c r="M50" s="222"/>
      <c r="N50" s="222">
        <v>0</v>
      </c>
      <c r="O50" s="222"/>
      <c r="P50" s="40">
        <f t="shared" si="8"/>
        <v>4422857</v>
      </c>
      <c r="Q50" s="222">
        <v>8081657</v>
      </c>
      <c r="S50" s="222">
        <f t="shared" si="9"/>
        <v>501218</v>
      </c>
      <c r="T50" s="1872">
        <f t="shared" si="10"/>
        <v>6.6119917329326178E-2</v>
      </c>
    </row>
    <row r="51" spans="1:20">
      <c r="A51" s="172" t="s">
        <v>100</v>
      </c>
      <c r="B51" s="44">
        <v>7705927</v>
      </c>
      <c r="C51" s="44">
        <v>7705927</v>
      </c>
      <c r="E51" s="44">
        <v>2289253</v>
      </c>
      <c r="F51" s="44">
        <v>91000</v>
      </c>
      <c r="G51" s="44">
        <f>1251567+1226</f>
        <v>1252793</v>
      </c>
      <c r="H51" s="44"/>
      <c r="I51" s="44">
        <f t="shared" si="7"/>
        <v>9763004</v>
      </c>
      <c r="J51" s="44">
        <v>13396050</v>
      </c>
      <c r="L51" s="44">
        <v>1410054.4620000001</v>
      </c>
      <c r="M51" s="44">
        <v>103251.23350251638</v>
      </c>
      <c r="N51" s="44">
        <v>1256181</v>
      </c>
      <c r="O51" s="44"/>
      <c r="P51" s="44">
        <f>Q51-SUM(L51:O51)</f>
        <v>9681534.3044974841</v>
      </c>
      <c r="Q51" s="44">
        <v>12451021</v>
      </c>
      <c r="S51" s="44">
        <f t="shared" si="9"/>
        <v>4745094</v>
      </c>
      <c r="T51" s="1865">
        <f t="shared" si="10"/>
        <v>0.61577198953480872</v>
      </c>
    </row>
    <row r="52" spans="1:20">
      <c r="A52" s="172" t="s">
        <v>101</v>
      </c>
      <c r="B52" s="50">
        <v>12025835</v>
      </c>
      <c r="C52" s="50">
        <v>12025835</v>
      </c>
      <c r="E52" s="50">
        <v>1720000</v>
      </c>
      <c r="F52" s="50">
        <v>0</v>
      </c>
      <c r="G52" s="50">
        <v>0</v>
      </c>
      <c r="H52" s="50"/>
      <c r="I52" s="50">
        <f t="shared" si="7"/>
        <v>11893698</v>
      </c>
      <c r="J52" s="50">
        <v>13613698</v>
      </c>
      <c r="L52" s="50">
        <v>1754400</v>
      </c>
      <c r="M52" s="50"/>
      <c r="N52" s="50">
        <v>0</v>
      </c>
      <c r="O52" s="50"/>
      <c r="P52" s="44">
        <f t="shared" si="8"/>
        <v>11775693</v>
      </c>
      <c r="Q52" s="50">
        <v>13530093</v>
      </c>
      <c r="S52" s="50">
        <f t="shared" si="9"/>
        <v>1504258</v>
      </c>
      <c r="T52" s="1866">
        <f t="shared" si="10"/>
        <v>0.12508553460113164</v>
      </c>
    </row>
    <row r="53" spans="1:20">
      <c r="A53" s="359" t="s">
        <v>102</v>
      </c>
      <c r="B53" s="222">
        <v>25520328</v>
      </c>
      <c r="C53" s="222">
        <v>25520328</v>
      </c>
      <c r="E53" s="222">
        <v>2132070</v>
      </c>
      <c r="F53" s="222">
        <v>0</v>
      </c>
      <c r="G53" s="222">
        <v>0</v>
      </c>
      <c r="H53" s="222"/>
      <c r="I53" s="222">
        <f t="shared" si="7"/>
        <v>28036742</v>
      </c>
      <c r="J53" s="222">
        <v>30168812</v>
      </c>
      <c r="L53" s="222">
        <v>2569280</v>
      </c>
      <c r="M53" s="222"/>
      <c r="N53" s="222">
        <v>434.65877216414697</v>
      </c>
      <c r="O53" s="222"/>
      <c r="P53" s="40">
        <f t="shared" si="8"/>
        <v>28303904.341227837</v>
      </c>
      <c r="Q53" s="222">
        <v>30873619</v>
      </c>
      <c r="S53" s="222">
        <f t="shared" si="9"/>
        <v>5353291</v>
      </c>
      <c r="T53" s="1872">
        <f t="shared" si="10"/>
        <v>0.20976576006389885</v>
      </c>
    </row>
    <row r="54" spans="1:20">
      <c r="A54" s="172" t="s">
        <v>103</v>
      </c>
      <c r="B54" s="44">
        <v>17684064</v>
      </c>
      <c r="C54" s="44">
        <v>17684064</v>
      </c>
      <c r="E54" s="44">
        <v>4725042</v>
      </c>
      <c r="F54" s="44">
        <v>0</v>
      </c>
      <c r="G54" s="44">
        <v>233.64018326917343</v>
      </c>
      <c r="H54" s="44"/>
      <c r="I54" s="44">
        <f t="shared" si="7"/>
        <v>13863692.35981673</v>
      </c>
      <c r="J54" s="44">
        <v>18588968</v>
      </c>
      <c r="L54" s="44">
        <v>4824600</v>
      </c>
      <c r="M54" s="44"/>
      <c r="N54" s="44">
        <v>0</v>
      </c>
      <c r="O54" s="44"/>
      <c r="P54" s="44">
        <f t="shared" si="8"/>
        <v>23492854</v>
      </c>
      <c r="Q54" s="44">
        <v>28317454</v>
      </c>
      <c r="S54" s="44">
        <f t="shared" si="9"/>
        <v>10633390</v>
      </c>
      <c r="T54" s="1865">
        <f t="shared" si="10"/>
        <v>0.60129786908710581</v>
      </c>
    </row>
    <row r="55" spans="1:20">
      <c r="A55" s="172" t="s">
        <v>450</v>
      </c>
      <c r="B55" s="44">
        <v>3700133</v>
      </c>
      <c r="C55" s="44">
        <v>3700133</v>
      </c>
      <c r="E55" s="44">
        <v>0</v>
      </c>
      <c r="F55" s="44">
        <v>0</v>
      </c>
      <c r="G55" s="44">
        <v>0</v>
      </c>
      <c r="H55" s="44"/>
      <c r="I55" s="44">
        <f t="shared" si="7"/>
        <v>0</v>
      </c>
      <c r="J55" s="44">
        <v>0</v>
      </c>
      <c r="L55" s="44">
        <v>0</v>
      </c>
      <c r="M55" s="44"/>
      <c r="N55" s="44">
        <v>0</v>
      </c>
      <c r="O55" s="44"/>
      <c r="P55" s="44"/>
      <c r="Q55" s="44">
        <f t="shared" ref="Q55" si="11">SUM(L55:P55)</f>
        <v>0</v>
      </c>
      <c r="S55" s="44">
        <f t="shared" si="9"/>
        <v>-3700133</v>
      </c>
      <c r="T55" s="1865">
        <f t="shared" si="10"/>
        <v>-1</v>
      </c>
    </row>
    <row r="56" spans="1:20">
      <c r="A56" s="377" t="s">
        <v>476</v>
      </c>
      <c r="B56" s="222">
        <v>2369903</v>
      </c>
      <c r="C56" s="222">
        <v>2369903</v>
      </c>
      <c r="E56" s="222">
        <v>860000</v>
      </c>
      <c r="F56" s="222">
        <v>0</v>
      </c>
      <c r="G56" s="222">
        <v>0</v>
      </c>
      <c r="H56" s="222"/>
      <c r="I56" s="222">
        <f t="shared" si="7"/>
        <v>1540967</v>
      </c>
      <c r="J56" s="222">
        <v>2400967</v>
      </c>
      <c r="L56" s="222">
        <v>877200</v>
      </c>
      <c r="M56" s="222"/>
      <c r="N56" s="222">
        <v>0</v>
      </c>
      <c r="O56" s="222"/>
      <c r="P56" s="40">
        <f t="shared" si="8"/>
        <v>-7584</v>
      </c>
      <c r="Q56" s="222">
        <v>869616</v>
      </c>
      <c r="S56" s="222">
        <f t="shared" si="9"/>
        <v>-1500287</v>
      </c>
      <c r="T56" s="1872">
        <f t="shared" si="10"/>
        <v>-0.63305839943660136</v>
      </c>
    </row>
    <row r="57" spans="1:20">
      <c r="A57" s="172" t="s">
        <v>104</v>
      </c>
      <c r="B57" s="50">
        <v>12372914</v>
      </c>
      <c r="C57" s="50">
        <v>12372914</v>
      </c>
      <c r="E57" s="50">
        <v>4367000</v>
      </c>
      <c r="F57" s="50">
        <v>0</v>
      </c>
      <c r="G57" s="50">
        <v>0</v>
      </c>
      <c r="H57" s="50"/>
      <c r="I57" s="50">
        <f t="shared" si="7"/>
        <v>7926440</v>
      </c>
      <c r="J57" s="50">
        <v>12293440</v>
      </c>
      <c r="L57" s="50">
        <v>4450820</v>
      </c>
      <c r="M57" s="50"/>
      <c r="N57" s="50">
        <v>0</v>
      </c>
      <c r="O57" s="50"/>
      <c r="P57" s="44">
        <f t="shared" si="8"/>
        <v>-38483</v>
      </c>
      <c r="Q57" s="50">
        <v>4412337</v>
      </c>
      <c r="S57" s="50">
        <f t="shared" si="9"/>
        <v>-7960577</v>
      </c>
      <c r="T57" s="1866">
        <f t="shared" si="10"/>
        <v>-0.64338740251488047</v>
      </c>
    </row>
    <row r="58" spans="1:20">
      <c r="A58" s="366" t="s">
        <v>105</v>
      </c>
      <c r="B58" s="1869">
        <v>155419385</v>
      </c>
      <c r="C58" s="1869">
        <f>SUM(C39:C57)</f>
        <v>155419385</v>
      </c>
      <c r="E58" s="1869">
        <f>SUM(E39:E57)</f>
        <v>29700604</v>
      </c>
      <c r="F58" s="1869">
        <f t="shared" ref="F58:J58" si="12">SUM(F39:F57)</f>
        <v>277000</v>
      </c>
      <c r="G58" s="1869">
        <f t="shared" si="12"/>
        <v>1782872.0409935422</v>
      </c>
      <c r="H58" s="1869">
        <f t="shared" si="12"/>
        <v>0</v>
      </c>
      <c r="I58" s="1869">
        <f t="shared" si="12"/>
        <v>140352543.95900646</v>
      </c>
      <c r="J58" s="1869">
        <f t="shared" si="12"/>
        <v>172113020</v>
      </c>
      <c r="L58" s="1869">
        <f>SUM(L39:L57)</f>
        <v>28744548.461999997</v>
      </c>
      <c r="M58" s="1869">
        <f t="shared" ref="M58:Q58" si="13">SUM(M39:M57)</f>
        <v>226004.52943746612</v>
      </c>
      <c r="N58" s="1869">
        <f t="shared" si="13"/>
        <v>1796898.9778191296</v>
      </c>
      <c r="O58" s="1869">
        <f t="shared" si="13"/>
        <v>0</v>
      </c>
      <c r="P58" s="1869">
        <f t="shared" si="13"/>
        <v>141987325.03074339</v>
      </c>
      <c r="Q58" s="1869">
        <f t="shared" si="13"/>
        <v>172754777</v>
      </c>
      <c r="S58" s="1869">
        <f t="shared" si="9"/>
        <v>17335392</v>
      </c>
      <c r="T58" s="1870">
        <f t="shared" si="10"/>
        <v>0.1115394453529719</v>
      </c>
    </row>
    <row r="59" spans="1:20" ht="16.5" thickBot="1">
      <c r="A59" s="368" t="s">
        <v>106</v>
      </c>
      <c r="B59" s="1773">
        <v>552825759.38800001</v>
      </c>
      <c r="C59" s="1773">
        <f>SUM(C7,C36,C58)</f>
        <v>552825759</v>
      </c>
      <c r="E59" s="1773">
        <f t="shared" ref="E59:J59" si="14">E36+E58+SUM(E7:E13)</f>
        <v>138765023.96888667</v>
      </c>
      <c r="F59" s="1773">
        <f t="shared" si="14"/>
        <v>56542000</v>
      </c>
      <c r="G59" s="1773">
        <f t="shared" si="14"/>
        <v>158754724.83286914</v>
      </c>
      <c r="H59" s="1773">
        <f t="shared" si="14"/>
        <v>21776904</v>
      </c>
      <c r="I59" s="1773">
        <f t="shared" si="14"/>
        <v>198294726.43496659</v>
      </c>
      <c r="J59" s="1773">
        <f t="shared" si="14"/>
        <v>574133379.23672247</v>
      </c>
      <c r="L59" s="1773">
        <f>SUM(L7,L8,L9,L10,L11,L12,L13,L36,L58)</f>
        <v>153173830.71376377</v>
      </c>
      <c r="M59" s="1773">
        <f t="shared" ref="M59:Q59" si="15">SUM(M7,M8,M9,M10,M11,M12,M13,M36,M58)</f>
        <v>61382452.767835803</v>
      </c>
      <c r="N59" s="1773">
        <f t="shared" si="15"/>
        <v>159184574.97781911</v>
      </c>
      <c r="O59" s="1773">
        <f t="shared" si="15"/>
        <v>22100000</v>
      </c>
      <c r="P59" s="1773">
        <f t="shared" si="15"/>
        <v>201575368.52750102</v>
      </c>
      <c r="Q59" s="1773">
        <f t="shared" si="15"/>
        <v>597416226.98691964</v>
      </c>
      <c r="S59" s="1773">
        <f t="shared" si="9"/>
        <v>44590467.59891963</v>
      </c>
      <c r="T59" s="1873">
        <f t="shared" si="10"/>
        <v>8.0659171251866127E-2</v>
      </c>
    </row>
    <row r="60" spans="1:20" ht="16.5" thickTop="1">
      <c r="A60" s="172"/>
      <c r="L60" s="188"/>
      <c r="M60" s="188"/>
      <c r="N60" s="188"/>
      <c r="Q60" s="12"/>
    </row>
    <row r="61" spans="1:20">
      <c r="A61" s="161"/>
      <c r="N61" s="12"/>
    </row>
    <row r="62" spans="1:20">
      <c r="A62" s="161"/>
      <c r="N62" s="12"/>
    </row>
    <row r="63" spans="1:20">
      <c r="A63" s="161"/>
    </row>
    <row r="64" spans="1:20">
      <c r="A64" s="161"/>
    </row>
    <row r="65" spans="1:1">
      <c r="A65" s="187"/>
    </row>
    <row r="66" spans="1:1">
      <c r="A66" s="187"/>
    </row>
  </sheetData>
  <mergeCells count="4">
    <mergeCell ref="B7:B13"/>
    <mergeCell ref="C7:C13"/>
    <mergeCell ref="E5:J5"/>
    <mergeCell ref="L5:Q5"/>
  </mergeCells>
  <phoneticPr fontId="52" type="noConversion"/>
  <pageMargins left="0.7" right="0.7" top="0.75" bottom="0.75" header="0.3" footer="0.3"/>
  <pageSetup scale="53"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C59"/>
  <sheetViews>
    <sheetView topLeftCell="A4" workbookViewId="0">
      <selection activeCell="D25" sqref="D25"/>
    </sheetView>
  </sheetViews>
  <sheetFormatPr defaultColWidth="11" defaultRowHeight="15.75"/>
  <cols>
    <col min="1" max="1" width="45.375" customWidth="1"/>
    <col min="2" max="2" width="12.5" customWidth="1"/>
    <col min="8" max="8" width="13.5" customWidth="1"/>
    <col min="9" max="9" width="5.875" customWidth="1"/>
    <col min="10" max="11" width="13.5" customWidth="1"/>
    <col min="12" max="12" width="19.5" customWidth="1"/>
    <col min="13" max="13" width="11.625" customWidth="1"/>
    <col min="14" max="14" width="11.875" customWidth="1"/>
    <col min="15" max="15" width="13" customWidth="1"/>
    <col min="19" max="19" width="12.5" bestFit="1" customWidth="1"/>
    <col min="22" max="22" width="25" customWidth="1"/>
  </cols>
  <sheetData>
    <row r="1" spans="1:29">
      <c r="A1" s="169" t="s">
        <v>61</v>
      </c>
      <c r="B1" s="169"/>
      <c r="C1" s="169"/>
      <c r="D1" s="169"/>
      <c r="E1" s="169"/>
      <c r="F1" s="169"/>
      <c r="G1" s="169"/>
      <c r="H1" s="169"/>
      <c r="I1" s="169"/>
      <c r="J1" s="169"/>
      <c r="V1" s="169" t="s">
        <v>61</v>
      </c>
      <c r="W1" s="169"/>
      <c r="X1" s="169"/>
      <c r="Y1" s="169"/>
      <c r="Z1" s="169"/>
      <c r="AA1" s="169"/>
      <c r="AB1" s="169"/>
      <c r="AC1" s="169"/>
    </row>
    <row r="2" spans="1:29">
      <c r="A2" s="169" t="s">
        <v>1599</v>
      </c>
      <c r="B2" s="169"/>
      <c r="C2" s="169"/>
      <c r="D2" s="169"/>
      <c r="E2" s="169"/>
      <c r="F2" s="169"/>
      <c r="G2" s="169"/>
      <c r="H2" s="169"/>
      <c r="I2" s="169"/>
      <c r="J2" s="169"/>
      <c r="V2" s="169" t="s">
        <v>1764</v>
      </c>
      <c r="W2" s="169"/>
      <c r="X2" s="169"/>
      <c r="Y2" s="169"/>
      <c r="Z2" s="169"/>
      <c r="AA2" s="169"/>
      <c r="AB2" s="169"/>
      <c r="AC2" s="169"/>
    </row>
    <row r="3" spans="1:29">
      <c r="A3" s="169"/>
      <c r="B3" s="169"/>
      <c r="C3" s="169"/>
      <c r="D3" s="169"/>
      <c r="E3" s="169"/>
      <c r="F3" s="169"/>
      <c r="G3" s="169"/>
      <c r="H3" s="169"/>
      <c r="I3" s="169"/>
      <c r="J3" s="169"/>
      <c r="V3" s="169"/>
      <c r="W3" s="169"/>
      <c r="X3" s="169"/>
      <c r="Y3" s="169"/>
      <c r="Z3" s="169"/>
      <c r="AA3" s="169"/>
      <c r="AB3" s="169"/>
      <c r="AC3" s="169"/>
    </row>
    <row r="4" spans="1:29">
      <c r="A4" s="170"/>
      <c r="B4" s="1953" t="s">
        <v>629</v>
      </c>
      <c r="C4" s="1953"/>
      <c r="D4" s="1953"/>
      <c r="E4" s="1953"/>
      <c r="F4" s="1953"/>
      <c r="G4" s="1953"/>
      <c r="H4" s="1953"/>
      <c r="I4" s="1769"/>
      <c r="L4" s="1953" t="s">
        <v>1384</v>
      </c>
      <c r="M4" s="1953"/>
      <c r="N4" s="1953"/>
      <c r="O4" s="1953"/>
      <c r="P4" s="1953"/>
      <c r="Q4" s="1953"/>
      <c r="R4" s="1953"/>
      <c r="V4" s="170"/>
      <c r="W4" s="1954" t="s">
        <v>629</v>
      </c>
      <c r="X4" s="1954"/>
      <c r="Y4" s="1954"/>
      <c r="Z4" s="1954"/>
      <c r="AA4" s="1954"/>
      <c r="AB4" s="1954"/>
      <c r="AC4" s="1954"/>
    </row>
    <row r="5" spans="1:29" ht="51">
      <c r="A5" s="180" t="s">
        <v>68</v>
      </c>
      <c r="B5" s="608" t="s">
        <v>617</v>
      </c>
      <c r="C5" s="608" t="s">
        <v>618</v>
      </c>
      <c r="D5" s="608" t="s">
        <v>619</v>
      </c>
      <c r="E5" s="608" t="s">
        <v>398</v>
      </c>
      <c r="F5" s="608" t="s">
        <v>620</v>
      </c>
      <c r="G5" s="623" t="s">
        <v>1254</v>
      </c>
      <c r="H5" s="608" t="s">
        <v>1736</v>
      </c>
      <c r="I5" s="1770"/>
      <c r="J5" s="608" t="s">
        <v>1569</v>
      </c>
      <c r="L5" s="214"/>
      <c r="M5" s="597" t="s">
        <v>617</v>
      </c>
      <c r="N5" s="597" t="s">
        <v>618</v>
      </c>
      <c r="O5" s="597" t="s">
        <v>619</v>
      </c>
      <c r="P5" s="597" t="s">
        <v>398</v>
      </c>
      <c r="Q5" s="597" t="s">
        <v>620</v>
      </c>
      <c r="R5" s="597" t="s">
        <v>254</v>
      </c>
      <c r="V5" s="180" t="s">
        <v>68</v>
      </c>
      <c r="W5" s="1770" t="s">
        <v>617</v>
      </c>
      <c r="X5" s="1770" t="s">
        <v>618</v>
      </c>
      <c r="Y5" s="1770" t="s">
        <v>619</v>
      </c>
      <c r="Z5" s="1770" t="s">
        <v>398</v>
      </c>
      <c r="AA5" s="1770" t="s">
        <v>620</v>
      </c>
      <c r="AB5" s="1793" t="s">
        <v>1254</v>
      </c>
      <c r="AC5" s="1770" t="s">
        <v>1281</v>
      </c>
    </row>
    <row r="6" spans="1:29">
      <c r="A6" s="171" t="s">
        <v>470</v>
      </c>
      <c r="B6" s="40"/>
      <c r="C6" s="40"/>
      <c r="D6" s="40"/>
      <c r="E6" s="40"/>
      <c r="F6" s="40"/>
      <c r="G6" s="40"/>
      <c r="H6" s="40"/>
      <c r="I6" s="40"/>
      <c r="J6" s="40"/>
      <c r="V6" s="171" t="s">
        <v>470</v>
      </c>
      <c r="W6" s="40"/>
      <c r="X6" s="40"/>
      <c r="Y6" s="40"/>
      <c r="Z6" s="40"/>
      <c r="AA6" s="40"/>
      <c r="AB6" s="40"/>
      <c r="AC6" s="40"/>
    </row>
    <row r="7" spans="1:29">
      <c r="A7" s="171" t="s">
        <v>477</v>
      </c>
      <c r="B7" s="40"/>
      <c r="C7" s="40"/>
      <c r="D7" s="40"/>
      <c r="E7" s="40"/>
      <c r="F7" s="40"/>
      <c r="G7" s="40"/>
      <c r="H7" s="40"/>
      <c r="I7" s="40"/>
      <c r="J7" s="40"/>
      <c r="V7" s="171" t="s">
        <v>477</v>
      </c>
      <c r="W7" s="40"/>
      <c r="X7" s="40"/>
      <c r="Y7" s="40"/>
      <c r="Z7" s="40"/>
      <c r="AA7" s="40"/>
      <c r="AB7" s="40"/>
      <c r="AC7" s="40"/>
    </row>
    <row r="8" spans="1:29">
      <c r="A8" s="171" t="s">
        <v>471</v>
      </c>
      <c r="B8" s="40"/>
      <c r="C8" s="40"/>
      <c r="D8" s="40"/>
      <c r="E8" s="40"/>
      <c r="F8" s="40"/>
      <c r="G8" s="40"/>
      <c r="H8" s="40"/>
      <c r="I8" s="40"/>
      <c r="J8" s="40"/>
      <c r="L8" t="s">
        <v>623</v>
      </c>
      <c r="V8" s="171" t="s">
        <v>471</v>
      </c>
      <c r="W8" s="40"/>
      <c r="X8" s="40"/>
      <c r="Y8" s="40"/>
      <c r="Z8" s="40"/>
      <c r="AA8" s="40"/>
      <c r="AB8" s="40"/>
      <c r="AC8" s="40"/>
    </row>
    <row r="9" spans="1:29">
      <c r="A9" s="171" t="s">
        <v>472</v>
      </c>
      <c r="B9" s="40"/>
      <c r="C9" s="40"/>
      <c r="D9" s="40"/>
      <c r="E9" s="40"/>
      <c r="F9" s="40"/>
      <c r="G9" s="40"/>
      <c r="H9" s="40"/>
      <c r="I9" s="40"/>
      <c r="J9" s="40"/>
      <c r="L9" t="s">
        <v>624</v>
      </c>
      <c r="V9" s="171" t="s">
        <v>472</v>
      </c>
      <c r="W9" s="40"/>
      <c r="X9" s="40"/>
      <c r="Y9" s="40"/>
      <c r="Z9" s="40"/>
      <c r="AA9" s="40"/>
      <c r="AB9" s="40"/>
      <c r="AC9" s="40"/>
    </row>
    <row r="10" spans="1:29">
      <c r="A10" s="171" t="s">
        <v>473</v>
      </c>
      <c r="B10" s="40"/>
      <c r="C10" s="40"/>
      <c r="D10" s="40"/>
      <c r="E10" s="40"/>
      <c r="F10" s="40"/>
      <c r="G10" s="40"/>
      <c r="H10" s="40"/>
      <c r="I10" s="40"/>
      <c r="J10" s="40"/>
      <c r="L10" t="s">
        <v>1085</v>
      </c>
      <c r="V10" s="171" t="s">
        <v>473</v>
      </c>
      <c r="W10" s="40"/>
      <c r="X10" s="40"/>
      <c r="Y10" s="40"/>
      <c r="Z10" s="40"/>
      <c r="AA10" s="40"/>
      <c r="AB10" s="40"/>
      <c r="AC10" s="40"/>
    </row>
    <row r="11" spans="1:29">
      <c r="A11" s="162"/>
      <c r="B11" s="44"/>
      <c r="C11" s="44"/>
      <c r="D11" s="44"/>
      <c r="E11" s="44"/>
      <c r="F11" s="44"/>
      <c r="G11" s="44"/>
      <c r="H11" s="44"/>
      <c r="I11" s="44"/>
      <c r="J11" s="44"/>
      <c r="V11" s="162"/>
      <c r="W11" s="44"/>
      <c r="X11" s="44"/>
      <c r="Y11" s="44"/>
      <c r="Z11" s="44"/>
      <c r="AA11" s="44"/>
      <c r="AB11" s="44"/>
      <c r="AC11" s="44"/>
    </row>
    <row r="12" spans="1:29">
      <c r="A12" s="47" t="s">
        <v>71</v>
      </c>
      <c r="B12" s="33"/>
      <c r="C12" s="33"/>
      <c r="D12" s="33"/>
      <c r="E12" s="33"/>
      <c r="F12" s="33"/>
      <c r="G12" s="33"/>
      <c r="H12" s="33"/>
      <c r="I12" s="33"/>
      <c r="J12" s="33"/>
      <c r="L12" s="459"/>
      <c r="M12" s="214"/>
      <c r="N12" s="214"/>
      <c r="O12" s="214"/>
      <c r="P12" s="214"/>
      <c r="Q12" s="214"/>
      <c r="R12" s="214"/>
      <c r="V12" s="47" t="s">
        <v>71</v>
      </c>
      <c r="W12" s="33"/>
      <c r="X12" s="33"/>
      <c r="Y12" s="33"/>
      <c r="Z12" s="33"/>
      <c r="AA12" s="33"/>
      <c r="AB12" s="33"/>
      <c r="AC12" s="33"/>
    </row>
    <row r="13" spans="1:29">
      <c r="A13" s="173" t="s">
        <v>72</v>
      </c>
      <c r="B13" s="40">
        <f t="shared" ref="B13:D14" si="0">M13</f>
        <v>4178418.8762228452</v>
      </c>
      <c r="C13" s="40">
        <f t="shared" si="0"/>
        <v>3773161.1603870192</v>
      </c>
      <c r="D13" s="40">
        <f t="shared" si="0"/>
        <v>8493439.1860469915</v>
      </c>
      <c r="E13" s="40">
        <f>'Grant Data'!D12</f>
        <v>1401646.4296144415</v>
      </c>
      <c r="F13" s="40">
        <f>Q13</f>
        <v>467207.05949999008</v>
      </c>
      <c r="G13" s="40">
        <f>R13</f>
        <v>3088401.6431756816</v>
      </c>
      <c r="H13" s="40">
        <f>SUM(B13:G13)</f>
        <v>21402274.354946967</v>
      </c>
      <c r="I13" s="40"/>
      <c r="J13" s="40">
        <v>20473993.635177765</v>
      </c>
      <c r="K13" s="1834">
        <f>H13-D13</f>
        <v>12908835.168899976</v>
      </c>
      <c r="L13" s="461" t="s">
        <v>513</v>
      </c>
      <c r="M13" s="516">
        <f>'Foundation SCH'!D19+'Honors College Incentive'!D12</f>
        <v>4178418.8762228452</v>
      </c>
      <c r="N13" s="516">
        <f>'Undergrad Completions'!D17</f>
        <v>3773161.1603870192</v>
      </c>
      <c r="O13" s="516">
        <f>'Ecampus '!D7+Summer!D8</f>
        <v>8493439.1860469915</v>
      </c>
      <c r="P13" s="603"/>
      <c r="Q13" s="516">
        <f>'Strategic Populations'!D17+'Cascades Incentive'!D17</f>
        <v>467207.05949999008</v>
      </c>
      <c r="R13" s="516">
        <f>'Graduate Completions'!D17</f>
        <v>3088401.6431756816</v>
      </c>
      <c r="V13" s="173" t="s">
        <v>72</v>
      </c>
      <c r="W13" s="40">
        <v>4231382.8892434947</v>
      </c>
      <c r="X13" s="40">
        <v>3969414.2591895591</v>
      </c>
      <c r="Y13" s="40">
        <v>7438000</v>
      </c>
      <c r="Z13" s="40">
        <v>1425763.2989824382</v>
      </c>
      <c r="AA13" s="40">
        <v>481575.7579798011</v>
      </c>
      <c r="AB13" s="40">
        <v>2927857.4297824688</v>
      </c>
      <c r="AC13" s="40">
        <v>20473993.635177765</v>
      </c>
    </row>
    <row r="14" spans="1:29">
      <c r="A14" s="49" t="s">
        <v>73</v>
      </c>
      <c r="B14" s="44">
        <f t="shared" si="0"/>
        <v>5742481.3368606819</v>
      </c>
      <c r="C14" s="44">
        <f t="shared" si="0"/>
        <v>6056176.8840050651</v>
      </c>
      <c r="D14" s="44">
        <f t="shared" si="0"/>
        <v>6076414.9134103637</v>
      </c>
      <c r="E14" s="44">
        <f>'Grant Data'!D13</f>
        <v>2932.64847679285</v>
      </c>
      <c r="F14" s="44">
        <f>Q14</f>
        <v>1148980.5660860962</v>
      </c>
      <c r="G14" s="44">
        <f>R14</f>
        <v>1256326.5801639303</v>
      </c>
      <c r="H14" s="44">
        <f t="shared" ref="H14:H31" si="1">SUM(B14:G14)</f>
        <v>20283312.929002929</v>
      </c>
      <c r="I14" s="44"/>
      <c r="J14" s="44">
        <v>18255766.891940508</v>
      </c>
      <c r="K14" s="1834">
        <f t="shared" ref="K14:K31" si="2">H14-D14</f>
        <v>14206898.015592566</v>
      </c>
      <c r="L14" s="461" t="s">
        <v>6</v>
      </c>
      <c r="M14" s="516">
        <f>'Foundation SCH'!D20+'Honors College Incentive'!D13</f>
        <v>5742481.3368606819</v>
      </c>
      <c r="N14" s="516">
        <f>'Undergrad Completions'!D18</f>
        <v>6056176.8840050651</v>
      </c>
      <c r="O14" s="516">
        <f>'Ecampus '!D8+Summer!D9</f>
        <v>6076414.9134103637</v>
      </c>
      <c r="P14" s="603"/>
      <c r="Q14" s="516">
        <f>'Strategic Populations'!D18+'Cascades Incentive'!D18</f>
        <v>1148980.5660860962</v>
      </c>
      <c r="R14" s="516">
        <f>'Graduate Completions'!D18</f>
        <v>1256326.5801639303</v>
      </c>
      <c r="V14" s="49" t="s">
        <v>73</v>
      </c>
      <c r="W14" s="44">
        <v>5957806.0779998172</v>
      </c>
      <c r="X14" s="44">
        <v>4893587.3454925194</v>
      </c>
      <c r="Y14" s="44">
        <v>4841000</v>
      </c>
      <c r="Z14" s="44">
        <v>3577.0357014015754</v>
      </c>
      <c r="AA14" s="44">
        <v>1177210.4219064708</v>
      </c>
      <c r="AB14" s="44">
        <v>1382586.0108402988</v>
      </c>
      <c r="AC14" s="44">
        <v>18255766.891940508</v>
      </c>
    </row>
    <row r="15" spans="1:29">
      <c r="A15" s="172" t="s">
        <v>74</v>
      </c>
      <c r="B15" s="44">
        <f>M22</f>
        <v>6143583.4399813041</v>
      </c>
      <c r="C15" s="44">
        <f>N22</f>
        <v>13488643.55979196</v>
      </c>
      <c r="D15" s="44">
        <f>O22</f>
        <v>15000000</v>
      </c>
      <c r="E15" s="44">
        <f>'Grant Data'!D14</f>
        <v>1752086.6075550234</v>
      </c>
      <c r="F15" s="44">
        <f>Q22</f>
        <v>1990675.2082999791</v>
      </c>
      <c r="G15" s="44">
        <f>R22</f>
        <v>9818002.0532403793</v>
      </c>
      <c r="H15" s="44">
        <f t="shared" si="1"/>
        <v>48192990.868868649</v>
      </c>
      <c r="I15" s="44"/>
      <c r="J15" s="44">
        <v>47520593.982078947</v>
      </c>
      <c r="K15" s="1834">
        <f t="shared" si="2"/>
        <v>33192990.868868649</v>
      </c>
      <c r="L15" s="461" t="s">
        <v>8</v>
      </c>
      <c r="M15" s="516">
        <f>'Foundation SCH'!D21+'Honors College Incentive'!D14</f>
        <v>1264362.0663786905</v>
      </c>
      <c r="N15" s="516">
        <f>'Undergrad Completions'!D19</f>
        <v>243016.84912779572</v>
      </c>
      <c r="O15" s="516">
        <f>'Ecampus '!D9+Summer!D10</f>
        <v>2411438.0892217942</v>
      </c>
      <c r="P15" s="603"/>
      <c r="Q15" s="516">
        <f>'Strategic Populations'!D19+'Cascades Incentive'!D19</f>
        <v>220762.67277645302</v>
      </c>
      <c r="R15" s="516">
        <f>'Graduate Completions'!D19</f>
        <v>1050041.6945641744</v>
      </c>
      <c r="V15" s="172" t="s">
        <v>74</v>
      </c>
      <c r="W15" s="44">
        <v>6055231.2039823132</v>
      </c>
      <c r="X15" s="44">
        <v>12591301.661055157</v>
      </c>
      <c r="Y15" s="44">
        <v>15471000</v>
      </c>
      <c r="Z15" s="44">
        <v>1720055.0172699175</v>
      </c>
      <c r="AA15" s="44">
        <v>1925147.6672562403</v>
      </c>
      <c r="AB15" s="44">
        <v>9757858.4325153157</v>
      </c>
      <c r="AC15" s="44">
        <v>47520593.982078947</v>
      </c>
    </row>
    <row r="16" spans="1:29">
      <c r="A16" s="173" t="s">
        <v>75</v>
      </c>
      <c r="B16" s="40">
        <f>M16</f>
        <v>925797.8849663157</v>
      </c>
      <c r="C16" s="40">
        <f>N16</f>
        <v>1236004.3237735636</v>
      </c>
      <c r="D16" s="40">
        <f>O16</f>
        <v>1412447.5757823552</v>
      </c>
      <c r="E16" s="40">
        <f>'Grant Data'!D15</f>
        <v>317347.70771727973</v>
      </c>
      <c r="F16" s="40">
        <f>Q16</f>
        <v>175391.74321115235</v>
      </c>
      <c r="G16" s="40">
        <f>R16</f>
        <v>1499725.3539558637</v>
      </c>
      <c r="H16" s="40">
        <f t="shared" si="1"/>
        <v>5566714.5894065304</v>
      </c>
      <c r="I16" s="40"/>
      <c r="J16" s="40">
        <v>5545997.468826618</v>
      </c>
      <c r="K16" s="1834">
        <f t="shared" si="2"/>
        <v>4154267.0136241755</v>
      </c>
      <c r="L16" s="463" t="s">
        <v>2</v>
      </c>
      <c r="M16" s="516">
        <f>'Foundation SCH'!D22+'Honors College Incentive'!D15</f>
        <v>925797.8849663157</v>
      </c>
      <c r="N16" s="516">
        <f>'Undergrad Completions'!D20</f>
        <v>1236004.3237735636</v>
      </c>
      <c r="O16" s="516">
        <f>'Ecampus '!D10+Summer!D11</f>
        <v>1412447.5757823552</v>
      </c>
      <c r="P16" s="603"/>
      <c r="Q16" s="516">
        <f>'Strategic Populations'!D20+'Cascades Incentive'!D20</f>
        <v>175391.74321115235</v>
      </c>
      <c r="R16" s="516">
        <f>'Graduate Completions'!D20</f>
        <v>1499725.3539558637</v>
      </c>
      <c r="V16" s="173" t="s">
        <v>75</v>
      </c>
      <c r="W16" s="40">
        <v>1008280.1317241986</v>
      </c>
      <c r="X16" s="40">
        <v>1188074.3422302732</v>
      </c>
      <c r="Y16" s="40">
        <v>1489000</v>
      </c>
      <c r="Z16" s="40">
        <v>343099.96048706188</v>
      </c>
      <c r="AA16" s="40">
        <v>181752.42011449038</v>
      </c>
      <c r="AB16" s="40">
        <v>1335790.614270594</v>
      </c>
      <c r="AC16" s="40">
        <v>5545997.468826618</v>
      </c>
    </row>
    <row r="17" spans="1:29">
      <c r="A17" s="49" t="s">
        <v>76</v>
      </c>
      <c r="B17" s="44">
        <f>M23</f>
        <v>4954975.1217208318</v>
      </c>
      <c r="C17" s="44">
        <f>N23</f>
        <v>3946342.3287567198</v>
      </c>
      <c r="D17" s="44">
        <f>O23</f>
        <v>3862733.4298863993</v>
      </c>
      <c r="E17" s="44">
        <f>'Grant Data'!D16</f>
        <v>627287.95734106994</v>
      </c>
      <c r="F17" s="44">
        <f>Q23</f>
        <v>914713.90944440861</v>
      </c>
      <c r="G17" s="44">
        <f>R23</f>
        <v>2078789.729803853</v>
      </c>
      <c r="H17" s="44">
        <f t="shared" si="1"/>
        <v>16384842.476953281</v>
      </c>
      <c r="I17" s="44"/>
      <c r="J17" s="44">
        <v>16681846.652766068</v>
      </c>
      <c r="K17" s="1834">
        <f t="shared" si="2"/>
        <v>12522109.047066882</v>
      </c>
      <c r="L17" s="461" t="s">
        <v>10</v>
      </c>
      <c r="M17" s="516">
        <f>'Foundation SCH'!D23+'Honors College Incentive'!D16</f>
        <v>139588.50458237567</v>
      </c>
      <c r="N17" s="516">
        <f>'Undergrad Completions'!D21</f>
        <v>0</v>
      </c>
      <c r="O17" s="516">
        <f>'Ecampus '!D11+Summer!D12</f>
        <v>80000</v>
      </c>
      <c r="P17" s="603"/>
      <c r="Q17" s="516">
        <f>'Strategic Populations'!D21+'Cascades Incentive'!D21</f>
        <v>53737.614055128317</v>
      </c>
      <c r="R17" s="516">
        <f>'Graduate Completions'!D21</f>
        <v>3460974.0884980778</v>
      </c>
      <c r="V17" s="49" t="s">
        <v>76</v>
      </c>
      <c r="W17" s="44">
        <v>5264983.1758457525</v>
      </c>
      <c r="X17" s="44">
        <v>4204891.9883198868</v>
      </c>
      <c r="Y17" s="44">
        <v>3597000</v>
      </c>
      <c r="Z17" s="44">
        <v>680907.85008543404</v>
      </c>
      <c r="AA17" s="44">
        <v>959341.01886401651</v>
      </c>
      <c r="AB17" s="44">
        <v>1974722.6196509793</v>
      </c>
      <c r="AC17" s="44">
        <v>16681846.652766068</v>
      </c>
    </row>
    <row r="18" spans="1:29">
      <c r="A18" s="172" t="s">
        <v>77</v>
      </c>
      <c r="B18" s="44">
        <f>M15</f>
        <v>1264362.0663786905</v>
      </c>
      <c r="C18" s="44">
        <f>N15</f>
        <v>243016.84912779572</v>
      </c>
      <c r="D18" s="44">
        <f>O15</f>
        <v>2411438.0892217942</v>
      </c>
      <c r="E18" s="44">
        <f>'Grant Data'!D17</f>
        <v>13638.72522787273</v>
      </c>
      <c r="F18" s="44">
        <f>Q15</f>
        <v>220762.67277645302</v>
      </c>
      <c r="G18" s="44">
        <f>R15</f>
        <v>1050041.6945641744</v>
      </c>
      <c r="H18" s="44">
        <f t="shared" si="1"/>
        <v>5203260.0972967809</v>
      </c>
      <c r="I18" s="44"/>
      <c r="J18" s="44">
        <v>4623529.5825457759</v>
      </c>
      <c r="K18" s="1834">
        <f t="shared" si="2"/>
        <v>2791822.0080749867</v>
      </c>
      <c r="L18" s="461" t="s">
        <v>4</v>
      </c>
      <c r="M18" s="516">
        <f>'Foundation SCH'!D24+'Honors College Incentive'!D17</f>
        <v>23073702.865721542</v>
      </c>
      <c r="N18" s="516">
        <f>'Undergrad Completions'!D22</f>
        <v>5196904.0458228337</v>
      </c>
      <c r="O18" s="516">
        <f>'Ecampus '!D12+Summer!D13</f>
        <v>7300000</v>
      </c>
      <c r="P18" s="603"/>
      <c r="Q18" s="516">
        <f>'Strategic Populations'!D22+'Cascades Incentive'!D22</f>
        <v>696345.53186281968</v>
      </c>
      <c r="R18" s="516">
        <f>'Graduate Completions'!D22</f>
        <v>3481217.6384611046</v>
      </c>
      <c r="V18" s="172" t="s">
        <v>77</v>
      </c>
      <c r="W18" s="44">
        <v>1209013.1364831312</v>
      </c>
      <c r="X18" s="44">
        <v>240979.9076459576</v>
      </c>
      <c r="Y18" s="44">
        <v>1817000</v>
      </c>
      <c r="Z18" s="44">
        <v>17291.567390577569</v>
      </c>
      <c r="AA18" s="44">
        <v>227449.55778717375</v>
      </c>
      <c r="AB18" s="44">
        <v>1111795.4132389356</v>
      </c>
      <c r="AC18" s="44">
        <v>4623529.5825457759</v>
      </c>
    </row>
    <row r="19" spans="1:29">
      <c r="A19" s="173" t="s">
        <v>78</v>
      </c>
      <c r="B19" s="40">
        <f>M20</f>
        <v>19424142.638719536</v>
      </c>
      <c r="C19" s="40">
        <f>N20</f>
        <v>5939698.791377306</v>
      </c>
      <c r="D19" s="40">
        <f>O20</f>
        <v>14447740</v>
      </c>
      <c r="E19" s="40">
        <f>'Grant Data'!D18</f>
        <v>71244.332106518705</v>
      </c>
      <c r="F19" s="40">
        <f>Q20</f>
        <v>1257748.3618144267</v>
      </c>
      <c r="G19" s="40">
        <f>R20</f>
        <v>1938352.9496536546</v>
      </c>
      <c r="H19" s="40">
        <f t="shared" si="1"/>
        <v>43078927.073671438</v>
      </c>
      <c r="I19" s="40"/>
      <c r="J19" s="40">
        <v>42171303.909114592</v>
      </c>
      <c r="K19" s="1834">
        <f t="shared" si="2"/>
        <v>28631187.073671438</v>
      </c>
      <c r="L19" s="461" t="s">
        <v>14</v>
      </c>
      <c r="M19" s="516">
        <f>'Foundation SCH'!D25+'Honors College Incentive'!D18</f>
        <v>328914.42536333157</v>
      </c>
      <c r="N19" s="516">
        <f>'Undergrad Completions'!D23</f>
        <v>0</v>
      </c>
      <c r="O19" s="516">
        <f>'Ecampus '!D13+Summer!D14</f>
        <v>370497.19761718827</v>
      </c>
      <c r="P19" s="605"/>
      <c r="Q19" s="516">
        <f>'Strategic Populations'!D23+'Cascades Incentive'!D23</f>
        <v>70348.976194120813</v>
      </c>
      <c r="R19" s="516">
        <f>'Graduate Completions'!D23</f>
        <v>385651.70690689521</v>
      </c>
      <c r="V19" s="173" t="s">
        <v>78</v>
      </c>
      <c r="W19" s="40">
        <v>19875946.973129932</v>
      </c>
      <c r="X19" s="40">
        <v>6002419.4765292872</v>
      </c>
      <c r="Y19" s="40">
        <v>13056000</v>
      </c>
      <c r="Z19" s="40">
        <v>71314.865918274154</v>
      </c>
      <c r="AA19" s="40">
        <v>1205892.7716436959</v>
      </c>
      <c r="AB19" s="40">
        <v>1959729.821893398</v>
      </c>
      <c r="AC19" s="40">
        <v>42171303.909114592</v>
      </c>
    </row>
    <row r="20" spans="1:29">
      <c r="A20" s="172" t="s">
        <v>79</v>
      </c>
      <c r="B20" s="44">
        <f>M24+M27</f>
        <v>2397372.7047201698</v>
      </c>
      <c r="C20" s="44">
        <f>N24</f>
        <v>890255.4086025639</v>
      </c>
      <c r="D20" s="44">
        <f>O24+O27</f>
        <v>1687067.7654351695</v>
      </c>
      <c r="E20" s="44">
        <f>'Grant Data'!D19</f>
        <v>1899988.1732828058</v>
      </c>
      <c r="F20" s="44">
        <f>Q24+Q27</f>
        <v>141819.10274628957</v>
      </c>
      <c r="G20" s="44">
        <f>R24</f>
        <v>1401160.5347468075</v>
      </c>
      <c r="H20" s="44">
        <f t="shared" si="1"/>
        <v>8417663.6895338055</v>
      </c>
      <c r="I20" s="44"/>
      <c r="J20" s="44">
        <v>8230660.9913143702</v>
      </c>
      <c r="K20" s="1834">
        <f t="shared" si="2"/>
        <v>6730595.924098636</v>
      </c>
      <c r="L20" s="463" t="s">
        <v>17</v>
      </c>
      <c r="M20" s="516">
        <f>'Foundation SCH'!D26+'Honors College Incentive'!D19</f>
        <v>19424142.638719536</v>
      </c>
      <c r="N20" s="516">
        <f>'Undergrad Completions'!D24</f>
        <v>5939698.791377306</v>
      </c>
      <c r="O20" s="516">
        <f>'Ecampus '!D14+Summer!D15</f>
        <v>14447740</v>
      </c>
      <c r="P20" s="603"/>
      <c r="Q20" s="516">
        <f>'Strategic Populations'!D24+'Cascades Incentive'!D24</f>
        <v>1257748.3618144267</v>
      </c>
      <c r="R20" s="516">
        <f>'Graduate Completions'!D24</f>
        <v>1938352.9496536546</v>
      </c>
      <c r="V20" s="172" t="s">
        <v>79</v>
      </c>
      <c r="W20" s="44">
        <v>2531311.9539541146</v>
      </c>
      <c r="X20" s="44">
        <v>834243.17568724009</v>
      </c>
      <c r="Y20" s="44">
        <v>1385000</v>
      </c>
      <c r="Z20" s="44">
        <v>1822001.3513445049</v>
      </c>
      <c r="AA20" s="44">
        <v>145916.27515778708</v>
      </c>
      <c r="AB20" s="44">
        <v>1512188.2351707243</v>
      </c>
      <c r="AC20" s="44">
        <v>8230660.9913143702</v>
      </c>
    </row>
    <row r="21" spans="1:29">
      <c r="A21" s="172" t="s">
        <v>80</v>
      </c>
      <c r="B21" s="44">
        <f t="shared" ref="B21:D22" si="3">M17</f>
        <v>139588.50458237567</v>
      </c>
      <c r="C21" s="44">
        <f t="shared" si="3"/>
        <v>0</v>
      </c>
      <c r="D21" s="44">
        <f t="shared" si="3"/>
        <v>80000</v>
      </c>
      <c r="E21" s="44">
        <f>'Grant Data'!D20</f>
        <v>208609.25174574152</v>
      </c>
      <c r="F21" s="44">
        <f>Q17</f>
        <v>53737.614055128317</v>
      </c>
      <c r="G21" s="44">
        <f>R17</f>
        <v>3460974.0884980778</v>
      </c>
      <c r="H21" s="44">
        <f t="shared" si="1"/>
        <v>3942909.4588813232</v>
      </c>
      <c r="I21" s="44"/>
      <c r="J21" s="44">
        <v>4050824.4536715425</v>
      </c>
      <c r="K21" s="1834">
        <f t="shared" si="2"/>
        <v>3862909.4588813232</v>
      </c>
      <c r="L21" s="461" t="s">
        <v>316</v>
      </c>
      <c r="M21" s="516">
        <f>'Foundation SCH'!D27+'Honors College Incentive'!D20</f>
        <v>335344.80534692365</v>
      </c>
      <c r="N21" s="516">
        <f>'Undergrad Completions'!D25</f>
        <v>0</v>
      </c>
      <c r="O21" s="516">
        <f>'Ecampus '!D15+Summer!D16</f>
        <v>0</v>
      </c>
      <c r="P21" s="605"/>
      <c r="Q21" s="516">
        <f>'Strategic Populations'!D25+'Cascades Incentive'!D25</f>
        <v>19318.187873476669</v>
      </c>
      <c r="R21" s="516">
        <f>'Graduate Completions'!D25</f>
        <v>2378271.0074660243</v>
      </c>
      <c r="V21" s="172" t="s">
        <v>80</v>
      </c>
      <c r="W21" s="44">
        <v>144198.54833797179</v>
      </c>
      <c r="X21" s="44">
        <v>0</v>
      </c>
      <c r="Y21" s="44">
        <v>115000</v>
      </c>
      <c r="Z21" s="44">
        <v>185976.82099645041</v>
      </c>
      <c r="AA21" s="44">
        <v>54649.615987212746</v>
      </c>
      <c r="AB21" s="44">
        <v>3550999.4683499075</v>
      </c>
      <c r="AC21" s="44">
        <v>4050824.4536715425</v>
      </c>
    </row>
    <row r="22" spans="1:29">
      <c r="A22" s="173" t="s">
        <v>81</v>
      </c>
      <c r="B22" s="40">
        <f t="shared" si="3"/>
        <v>23073702.865721542</v>
      </c>
      <c r="C22" s="40">
        <f t="shared" si="3"/>
        <v>5196904.0458228337</v>
      </c>
      <c r="D22" s="40">
        <f t="shared" si="3"/>
        <v>7300000</v>
      </c>
      <c r="E22" s="40">
        <f>'Grant Data'!D21</f>
        <v>622153.69255656225</v>
      </c>
      <c r="F22" s="40">
        <f>Q18</f>
        <v>696345.53186281968</v>
      </c>
      <c r="G22" s="40">
        <f>R18</f>
        <v>3481217.6384611046</v>
      </c>
      <c r="H22" s="40">
        <f t="shared" si="1"/>
        <v>40370323.774424858</v>
      </c>
      <c r="I22" s="40"/>
      <c r="J22" s="40">
        <v>38747270.086810246</v>
      </c>
      <c r="K22" s="1834">
        <f t="shared" si="2"/>
        <v>33070323.774424858</v>
      </c>
      <c r="L22" s="461" t="s">
        <v>7</v>
      </c>
      <c r="M22" s="516">
        <f>'Foundation SCH'!D28+'Honors College Incentive'!D21</f>
        <v>6143583.4399813041</v>
      </c>
      <c r="N22" s="516">
        <f>'Undergrad Completions'!D26</f>
        <v>13488643.55979196</v>
      </c>
      <c r="O22" s="516">
        <f>'Ecampus '!D16+Summer!D17</f>
        <v>15000000</v>
      </c>
      <c r="P22" s="603"/>
      <c r="Q22" s="516">
        <f>'Strategic Populations'!D26+'Cascades Incentive'!D26</f>
        <v>1990675.2082999791</v>
      </c>
      <c r="R22" s="516">
        <f>'Graduate Completions'!D26</f>
        <v>9818002.0532403793</v>
      </c>
      <c r="V22" s="173" t="s">
        <v>81</v>
      </c>
      <c r="W22" s="40">
        <v>22484648.584361367</v>
      </c>
      <c r="X22" s="40">
        <v>5074568.8082800405</v>
      </c>
      <c r="Y22" s="40">
        <v>6604000</v>
      </c>
      <c r="Z22" s="40">
        <v>616511.03338713443</v>
      </c>
      <c r="AA22" s="40">
        <v>697306.39072016266</v>
      </c>
      <c r="AB22" s="40">
        <v>3270235.2700615376</v>
      </c>
      <c r="AC22" s="40">
        <v>38747270.086810246</v>
      </c>
    </row>
    <row r="23" spans="1:29">
      <c r="A23" s="172" t="s">
        <v>82</v>
      </c>
      <c r="B23" s="44">
        <f>M21</f>
        <v>335344.80534692365</v>
      </c>
      <c r="C23" s="44">
        <f>N21</f>
        <v>0</v>
      </c>
      <c r="D23" s="44">
        <f>O21</f>
        <v>0</v>
      </c>
      <c r="E23" s="44">
        <f>'Grant Data'!D22</f>
        <v>138941.99720139903</v>
      </c>
      <c r="F23" s="44">
        <f>Q21</f>
        <v>19318.187873476669</v>
      </c>
      <c r="G23" s="44">
        <f>R21</f>
        <v>2378271.0074660243</v>
      </c>
      <c r="H23" s="44">
        <f t="shared" si="1"/>
        <v>2871875.9978878237</v>
      </c>
      <c r="I23" s="44"/>
      <c r="J23" s="44">
        <v>2813403.9503858928</v>
      </c>
      <c r="K23" s="1834">
        <f t="shared" si="2"/>
        <v>2871875.9978878237</v>
      </c>
      <c r="L23" s="461" t="s">
        <v>9</v>
      </c>
      <c r="M23" s="516">
        <f>'Foundation SCH'!D29+'Honors College Incentive'!D22</f>
        <v>4954975.1217208318</v>
      </c>
      <c r="N23" s="516">
        <f>'Undergrad Completions'!D27</f>
        <v>3946342.3287567198</v>
      </c>
      <c r="O23" s="516">
        <f>'Ecampus '!D17+Summer!D18</f>
        <v>3862733.4298863993</v>
      </c>
      <c r="P23" s="603"/>
      <c r="Q23" s="516">
        <f>'Strategic Populations'!D27+'Cascades Incentive'!D27</f>
        <v>914713.90944440861</v>
      </c>
      <c r="R23" s="516">
        <f>'Graduate Completions'!D27</f>
        <v>2078789.729803853</v>
      </c>
      <c r="V23" s="172" t="s">
        <v>82</v>
      </c>
      <c r="W23" s="44">
        <v>295933.79355309519</v>
      </c>
      <c r="X23" s="44">
        <v>0</v>
      </c>
      <c r="Y23" s="44">
        <v>0</v>
      </c>
      <c r="Z23" s="44">
        <v>136228.08971708466</v>
      </c>
      <c r="AA23" s="44">
        <v>16982.029430737181</v>
      </c>
      <c r="AB23" s="44">
        <v>2364260.0376849757</v>
      </c>
      <c r="AC23" s="44">
        <v>2813403.9503858928</v>
      </c>
    </row>
    <row r="24" spans="1:29">
      <c r="A24" s="172" t="s">
        <v>83</v>
      </c>
      <c r="B24" s="44">
        <v>0</v>
      </c>
      <c r="C24" s="44">
        <v>0</v>
      </c>
      <c r="D24" s="44">
        <v>0</v>
      </c>
      <c r="E24" s="44">
        <f>'Grant Data'!D23</f>
        <v>0</v>
      </c>
      <c r="F24" s="44">
        <v>0</v>
      </c>
      <c r="G24" s="44">
        <v>0</v>
      </c>
      <c r="H24" s="44">
        <f t="shared" si="1"/>
        <v>0</v>
      </c>
      <c r="I24" s="44"/>
      <c r="J24" s="44">
        <v>0</v>
      </c>
      <c r="K24" s="1834">
        <f t="shared" si="2"/>
        <v>0</v>
      </c>
      <c r="L24" s="463" t="s">
        <v>5</v>
      </c>
      <c r="M24" s="516">
        <f>'Foundation SCH'!D30+'Honors College Incentive'!D23</f>
        <v>2366599.6035065562</v>
      </c>
      <c r="N24" s="516">
        <f>'Undergrad Completions'!D28</f>
        <v>890255.4086025639</v>
      </c>
      <c r="O24" s="516">
        <f>'Ecampus '!D18+Summer!D19</f>
        <v>1620000</v>
      </c>
      <c r="P24" s="603"/>
      <c r="Q24" s="516">
        <f>'Strategic Populations'!D28+'Cascades Incentive'!D28</f>
        <v>141343.01431597112</v>
      </c>
      <c r="R24" s="516">
        <f>'Graduate Completions'!D28</f>
        <v>1401160.5347468075</v>
      </c>
      <c r="V24" s="172" t="s">
        <v>83</v>
      </c>
      <c r="W24" s="44">
        <v>0</v>
      </c>
      <c r="X24" s="44">
        <v>0</v>
      </c>
      <c r="Y24" s="44">
        <v>0</v>
      </c>
      <c r="Z24" s="44">
        <v>0</v>
      </c>
      <c r="AA24" s="44">
        <v>0</v>
      </c>
      <c r="AB24" s="44">
        <v>0</v>
      </c>
      <c r="AC24" s="44">
        <v>0</v>
      </c>
    </row>
    <row r="25" spans="1:29">
      <c r="A25" s="173" t="s">
        <v>84</v>
      </c>
      <c r="B25" s="40">
        <f>M28</f>
        <v>206727.42068329093</v>
      </c>
      <c r="C25" s="40">
        <f>N28</f>
        <v>617786.12318255415</v>
      </c>
      <c r="D25" s="40">
        <f>O28</f>
        <v>14670.080998081467</v>
      </c>
      <c r="E25" s="40">
        <f>'Grant Data'!D24</f>
        <v>0</v>
      </c>
      <c r="F25" s="40">
        <f>Q28</f>
        <v>2783.2545280186296</v>
      </c>
      <c r="G25" s="40">
        <f>R28</f>
        <v>0</v>
      </c>
      <c r="H25" s="40">
        <f t="shared" si="1"/>
        <v>841966.8793919452</v>
      </c>
      <c r="I25" s="40"/>
      <c r="J25" s="40">
        <v>1804609.074371215</v>
      </c>
      <c r="K25" s="1834">
        <f t="shared" si="2"/>
        <v>827296.79839386372</v>
      </c>
      <c r="L25" s="461"/>
      <c r="M25" s="452"/>
      <c r="N25" s="452"/>
      <c r="O25" s="452"/>
      <c r="P25" s="603"/>
      <c r="Q25" s="452"/>
      <c r="R25" s="452"/>
      <c r="V25" s="173" t="s">
        <v>84</v>
      </c>
      <c r="W25" s="40">
        <v>1108602.8585459304</v>
      </c>
      <c r="X25" s="40">
        <v>692512.54459675285</v>
      </c>
      <c r="Y25" s="40">
        <v>1000</v>
      </c>
      <c r="Z25" s="40">
        <v>0</v>
      </c>
      <c r="AA25" s="40">
        <v>2493.6712285316985</v>
      </c>
      <c r="AB25" s="40">
        <v>0</v>
      </c>
      <c r="AC25" s="40">
        <v>1804609.074371215</v>
      </c>
    </row>
    <row r="26" spans="1:29">
      <c r="A26" s="49" t="s">
        <v>86</v>
      </c>
      <c r="B26" s="44">
        <v>0</v>
      </c>
      <c r="C26" s="44">
        <v>0</v>
      </c>
      <c r="D26" s="44">
        <v>0</v>
      </c>
      <c r="E26" s="44">
        <f>'Grant Data'!D25</f>
        <v>0</v>
      </c>
      <c r="F26" s="44">
        <v>0</v>
      </c>
      <c r="G26" s="44">
        <v>0</v>
      </c>
      <c r="H26" s="44">
        <f t="shared" si="1"/>
        <v>0</v>
      </c>
      <c r="I26" s="44"/>
      <c r="J26" s="44">
        <v>0</v>
      </c>
      <c r="K26" s="1834">
        <f t="shared" si="2"/>
        <v>0</v>
      </c>
      <c r="L26" s="461" t="s">
        <v>516</v>
      </c>
      <c r="M26" s="516">
        <f>'Foundation SCH'!D32+'Honors College Incentive'!D25</f>
        <v>341125.11034095247</v>
      </c>
      <c r="N26" s="516">
        <f>'Undergrad Completions'!D30</f>
        <v>0</v>
      </c>
      <c r="O26" s="516">
        <f>'Ecampus '!D20+Summer!D21</f>
        <v>0</v>
      </c>
      <c r="P26" s="605"/>
      <c r="Q26" s="516">
        <f>'Strategic Populations'!D30+'Cascades Incentive'!D30</f>
        <v>1066.7907420098725</v>
      </c>
      <c r="R26" s="516">
        <f>'Graduate Completions'!D30</f>
        <v>0</v>
      </c>
      <c r="V26" s="49" t="s">
        <v>86</v>
      </c>
      <c r="W26" s="44">
        <v>0</v>
      </c>
      <c r="X26" s="44">
        <v>0</v>
      </c>
      <c r="Y26" s="44">
        <v>0</v>
      </c>
      <c r="Z26" s="44">
        <v>0</v>
      </c>
      <c r="AA26" s="44">
        <v>0</v>
      </c>
      <c r="AB26" s="44">
        <v>0</v>
      </c>
      <c r="AC26" s="44">
        <v>0</v>
      </c>
    </row>
    <row r="27" spans="1:29">
      <c r="A27" s="172" t="s">
        <v>87</v>
      </c>
      <c r="B27" s="44">
        <v>0</v>
      </c>
      <c r="C27" s="44">
        <v>0</v>
      </c>
      <c r="D27" s="44">
        <v>0</v>
      </c>
      <c r="E27" s="44">
        <f>'Grant Data'!D26</f>
        <v>0</v>
      </c>
      <c r="F27" s="44">
        <v>0</v>
      </c>
      <c r="G27" s="44">
        <v>0</v>
      </c>
      <c r="H27" s="44">
        <f t="shared" si="1"/>
        <v>0</v>
      </c>
      <c r="I27" s="44"/>
      <c r="J27" s="44">
        <v>0</v>
      </c>
      <c r="K27" s="1834">
        <f t="shared" si="2"/>
        <v>0</v>
      </c>
      <c r="L27" s="461" t="s">
        <v>537</v>
      </c>
      <c r="M27" s="516">
        <f>'Foundation SCH'!D33+'Honors College Incentive'!D26</f>
        <v>30773.101213613372</v>
      </c>
      <c r="N27" s="516">
        <f>'Undergrad Completions'!D31</f>
        <v>0</v>
      </c>
      <c r="O27" s="516">
        <f>'Ecampus '!D21+Summer!D22</f>
        <v>67067.765435169378</v>
      </c>
      <c r="P27" s="604"/>
      <c r="Q27" s="516">
        <f>'Strategic Populations'!D31+'Cascades Incentive'!D31</f>
        <v>476.08843031845549</v>
      </c>
      <c r="R27" s="516">
        <f>'Graduate Completions'!D31</f>
        <v>0</v>
      </c>
      <c r="V27" s="172" t="s">
        <v>87</v>
      </c>
      <c r="W27" s="44">
        <v>0</v>
      </c>
      <c r="X27" s="44">
        <v>0</v>
      </c>
      <c r="Y27" s="44">
        <v>0</v>
      </c>
      <c r="Z27" s="44">
        <v>0</v>
      </c>
      <c r="AA27" s="44">
        <v>0</v>
      </c>
      <c r="AB27" s="44">
        <v>0</v>
      </c>
      <c r="AC27" s="44">
        <v>0</v>
      </c>
    </row>
    <row r="28" spans="1:29">
      <c r="A28" s="359" t="s">
        <v>452</v>
      </c>
      <c r="B28" s="221"/>
      <c r="C28" s="221">
        <f>N30</f>
        <v>0</v>
      </c>
      <c r="D28" s="221"/>
      <c r="E28" s="221">
        <f>'Grant Data'!D27</f>
        <v>0</v>
      </c>
      <c r="F28" s="221"/>
      <c r="G28" s="221">
        <f>R30</f>
        <v>0</v>
      </c>
      <c r="H28" s="221">
        <f t="shared" si="1"/>
        <v>0</v>
      </c>
      <c r="I28" s="221"/>
      <c r="J28" s="221">
        <v>327960.50168034382</v>
      </c>
      <c r="K28" s="1834">
        <f t="shared" si="2"/>
        <v>0</v>
      </c>
      <c r="L28" s="463" t="s">
        <v>518</v>
      </c>
      <c r="M28" s="516">
        <f>'Foundation SCH'!D34+'Honors College Incentive'!D27</f>
        <v>206727.42068329093</v>
      </c>
      <c r="N28" s="516">
        <f>'Undergrad Completions'!D32</f>
        <v>617786.12318255415</v>
      </c>
      <c r="O28" s="516">
        <f>'Ecampus '!D22+Summer!D23</f>
        <v>14670.080998081467</v>
      </c>
      <c r="P28" s="605"/>
      <c r="Q28" s="516">
        <f>'Strategic Populations'!D32+'Cascades Incentive'!D32</f>
        <v>2783.2545280186296</v>
      </c>
      <c r="R28" s="516">
        <f>'Graduate Completions'!D32</f>
        <v>0</v>
      </c>
      <c r="V28" s="359" t="s">
        <v>452</v>
      </c>
      <c r="W28" s="221">
        <v>140331.73879134739</v>
      </c>
      <c r="X28" s="221">
        <v>0</v>
      </c>
      <c r="Y28" s="221">
        <v>186000</v>
      </c>
      <c r="Z28" s="221">
        <v>0</v>
      </c>
      <c r="AA28" s="221">
        <v>1628.7628889964601</v>
      </c>
      <c r="AB28" s="221">
        <v>0</v>
      </c>
      <c r="AC28" s="221">
        <v>327960.50168034382</v>
      </c>
    </row>
    <row r="29" spans="1:29">
      <c r="A29" s="358" t="s">
        <v>453</v>
      </c>
      <c r="B29" s="44">
        <f>M19</f>
        <v>328914.42536333157</v>
      </c>
      <c r="C29" s="44">
        <f>N19</f>
        <v>0</v>
      </c>
      <c r="D29" s="44">
        <f>O19</f>
        <v>370497.19761718827</v>
      </c>
      <c r="E29" s="44">
        <f>'Grant Data'!D28</f>
        <v>0</v>
      </c>
      <c r="F29" s="44">
        <f>Q19</f>
        <v>70348.976194120813</v>
      </c>
      <c r="G29" s="44">
        <f>R19</f>
        <v>385651.70690689521</v>
      </c>
      <c r="H29" s="44">
        <f t="shared" si="1"/>
        <v>1155412.306081536</v>
      </c>
      <c r="I29" s="44"/>
      <c r="J29" s="44">
        <v>1351156.5289732362</v>
      </c>
      <c r="K29" s="1834">
        <f t="shared" si="2"/>
        <v>784915.10846434766</v>
      </c>
      <c r="L29" s="461" t="s">
        <v>536</v>
      </c>
      <c r="M29" s="516">
        <f>'Foundation SCH'!D35+'Honors College Incentive'!D28</f>
        <v>1245547.2916578825</v>
      </c>
      <c r="N29" s="516">
        <f>'Undergrad Completions'!D33</f>
        <v>0</v>
      </c>
      <c r="O29" s="516">
        <f>'Ecampus '!D23+Summer!D24</f>
        <v>103251.23350251638</v>
      </c>
      <c r="P29" s="604"/>
      <c r="Q29" s="516">
        <f>'Strategic Populations'!D33+'Cascades Incentive'!D33</f>
        <v>1516.4298150884138</v>
      </c>
      <c r="R29" s="516">
        <f>'Graduate Completions'!D33</f>
        <v>0</v>
      </c>
      <c r="V29" s="358" t="s">
        <v>453</v>
      </c>
      <c r="W29" s="44">
        <v>323179.82529552822</v>
      </c>
      <c r="X29" s="44">
        <v>0</v>
      </c>
      <c r="Y29" s="44">
        <v>358000</v>
      </c>
      <c r="Z29" s="44">
        <v>0</v>
      </c>
      <c r="AA29" s="44">
        <v>64405.249915508575</v>
      </c>
      <c r="AB29" s="44">
        <v>605571.45376219961</v>
      </c>
      <c r="AC29" s="44">
        <v>1351156.5289732362</v>
      </c>
    </row>
    <row r="30" spans="1:29">
      <c r="A30" s="172" t="s">
        <v>88</v>
      </c>
      <c r="B30" s="44"/>
      <c r="C30" s="44"/>
      <c r="D30" s="44"/>
      <c r="E30" s="44">
        <f>'Grant Data'!D29</f>
        <v>1809.122006452656</v>
      </c>
      <c r="F30" s="44"/>
      <c r="G30" s="44"/>
      <c r="H30" s="44">
        <f t="shared" si="1"/>
        <v>1809.122006452656</v>
      </c>
      <c r="I30" s="44"/>
      <c r="J30" s="44">
        <v>3133.2060530932281</v>
      </c>
      <c r="K30" s="1834">
        <f t="shared" si="2"/>
        <v>1809.122006452656</v>
      </c>
      <c r="L30" s="606" t="s">
        <v>520</v>
      </c>
      <c r="M30" s="516">
        <f>'Foundation SCH'!D36+'Honors College Incentive'!D29</f>
        <v>135051.33864943034</v>
      </c>
      <c r="N30" s="516">
        <f>'Undergrad Completions'!D34</f>
        <v>0</v>
      </c>
      <c r="O30" s="516">
        <f>'Ecampus '!D24+Summer!D25</f>
        <v>122753.29593494974</v>
      </c>
      <c r="P30" s="605"/>
      <c r="Q30" s="516">
        <f>'Strategic Populations'!D34+'Cascades Incentive'!D34</f>
        <v>890.46169374377791</v>
      </c>
      <c r="R30" s="516">
        <f>'Graduate Completions'!D34</f>
        <v>0</v>
      </c>
      <c r="V30" s="172" t="s">
        <v>88</v>
      </c>
      <c r="W30" s="44"/>
      <c r="X30" s="44"/>
      <c r="Y30" s="44"/>
      <c r="Z30" s="44">
        <v>3133.2060530932281</v>
      </c>
      <c r="AA30" s="44"/>
      <c r="AB30" s="44"/>
      <c r="AC30" s="44">
        <v>3133.2060530932281</v>
      </c>
    </row>
    <row r="31" spans="1:29">
      <c r="A31" s="359" t="s">
        <v>89</v>
      </c>
      <c r="B31" s="221"/>
      <c r="C31" s="221"/>
      <c r="D31" s="221"/>
      <c r="E31" s="40">
        <f>'Grant Data'!D30</f>
        <v>829840.57305342832</v>
      </c>
      <c r="F31" s="221"/>
      <c r="G31" s="221"/>
      <c r="H31" s="221">
        <f t="shared" si="1"/>
        <v>829840.57305342832</v>
      </c>
      <c r="I31" s="221"/>
      <c r="J31" s="221">
        <v>830102.37784573087</v>
      </c>
      <c r="K31" s="1834">
        <f t="shared" si="2"/>
        <v>829840.57305342832</v>
      </c>
      <c r="M31" s="551"/>
      <c r="N31" s="551"/>
      <c r="O31" s="551"/>
      <c r="Q31" s="551"/>
      <c r="R31" s="551"/>
      <c r="V31" s="359" t="s">
        <v>89</v>
      </c>
      <c r="W31" s="221"/>
      <c r="X31" s="221"/>
      <c r="Y31" s="221"/>
      <c r="Z31" s="40">
        <v>830102.37784573087</v>
      </c>
      <c r="AA31" s="221"/>
      <c r="AB31" s="221"/>
      <c r="AC31" s="221">
        <v>830102.37784573087</v>
      </c>
    </row>
    <row r="32" spans="1:29">
      <c r="A32" s="362" t="s">
        <v>90</v>
      </c>
      <c r="B32" s="621">
        <f t="shared" ref="B32:H32" si="4">SUM(B13:B31)</f>
        <v>69115412.091267839</v>
      </c>
      <c r="C32" s="621">
        <f t="shared" si="4"/>
        <v>41387989.474827394</v>
      </c>
      <c r="D32" s="621">
        <f>SUM(D13:D31)</f>
        <v>61156448.238398336</v>
      </c>
      <c r="E32" s="621">
        <f t="shared" si="4"/>
        <v>7887527.2178853881</v>
      </c>
      <c r="F32" s="621">
        <f t="shared" si="4"/>
        <v>7159832.1883923607</v>
      </c>
      <c r="G32" s="621">
        <f t="shared" si="4"/>
        <v>31836914.980636451</v>
      </c>
      <c r="H32" s="621">
        <f t="shared" si="4"/>
        <v>218544124.19140771</v>
      </c>
      <c r="I32" s="1771"/>
      <c r="J32" s="621">
        <v>213432153.29355597</v>
      </c>
      <c r="K32" s="1834">
        <f>H32-D32</f>
        <v>157387675.95300937</v>
      </c>
      <c r="L32" s="468"/>
      <c r="M32" s="607">
        <f>SUM(M13:M30)</f>
        <v>70837135.831916109</v>
      </c>
      <c r="N32" s="607">
        <f>SUM(N13:N30)</f>
        <v>41387989.474827386</v>
      </c>
      <c r="O32" s="607">
        <f>SUM(O13:O30)</f>
        <v>61382452.767835803</v>
      </c>
      <c r="P32" s="518"/>
      <c r="Q32" s="607">
        <f>SUM(Q13:Q30)</f>
        <v>7163305.8706432013</v>
      </c>
      <c r="R32" s="607">
        <f>SUM(R13:R30)</f>
        <v>31836914.980636451</v>
      </c>
      <c r="V32" s="362" t="s">
        <v>90</v>
      </c>
      <c r="W32" s="1771">
        <v>70630850.891247988</v>
      </c>
      <c r="X32" s="1771">
        <v>39691993.509026676</v>
      </c>
      <c r="Y32" s="1771">
        <v>56358000</v>
      </c>
      <c r="Z32" s="1771">
        <v>7855962.4751791032</v>
      </c>
      <c r="AA32" s="1771">
        <v>7141751.6108808229</v>
      </c>
      <c r="AB32" s="1771">
        <v>31753594.807221338</v>
      </c>
      <c r="AC32" s="1771">
        <v>213432153.29355597</v>
      </c>
    </row>
    <row r="33" spans="1:29">
      <c r="A33" s="172"/>
      <c r="M33" s="516">
        <f>'Foundation SCH'!D37+'Honors College Incentive'!D30</f>
        <v>70837135.831916109</v>
      </c>
      <c r="N33" s="516">
        <f>'Undergrad Completions'!D35</f>
        <v>41387989.474827386</v>
      </c>
      <c r="O33" s="516">
        <f>'Ecampus '!D25+Summer!D26</f>
        <v>61382452.767835811</v>
      </c>
      <c r="P33" s="516">
        <f>'Grant Data'!D54</f>
        <v>7959228.7451591128</v>
      </c>
      <c r="Q33" s="516">
        <f>'Strategic Populations'!D35+'Cascades Incentive'!D35</f>
        <v>7163305.8706432022</v>
      </c>
      <c r="R33" s="516">
        <f>'Graduate Completions'!D35</f>
        <v>31836914.980636451</v>
      </c>
      <c r="S33" s="455">
        <f>SUM(M33:R33)</f>
        <v>220567027.67101806</v>
      </c>
    </row>
    <row r="34" spans="1:29">
      <c r="A34" s="162"/>
      <c r="B34" s="12"/>
      <c r="L34" t="s">
        <v>1784</v>
      </c>
      <c r="S34" s="12"/>
      <c r="V34" t="s">
        <v>1765</v>
      </c>
    </row>
    <row r="35" spans="1:29">
      <c r="A35" s="49" t="s">
        <v>91</v>
      </c>
      <c r="B35" s="50"/>
      <c r="C35" s="50"/>
      <c r="D35" s="50"/>
      <c r="E35" s="50"/>
      <c r="F35" s="50"/>
      <c r="G35" s="50"/>
      <c r="H35" s="50"/>
      <c r="I35" s="50"/>
      <c r="J35" s="50"/>
      <c r="V35" s="47" t="s">
        <v>71</v>
      </c>
    </row>
    <row r="36" spans="1:29">
      <c r="A36" s="173" t="s">
        <v>92</v>
      </c>
      <c r="B36" s="40"/>
      <c r="C36" s="40"/>
      <c r="D36" s="40"/>
      <c r="E36" s="40">
        <f>'Grant Data'!D35</f>
        <v>7.3258350761008657</v>
      </c>
      <c r="F36" s="40"/>
      <c r="G36" s="40">
        <f t="shared" ref="G36:G53" si="5">R36</f>
        <v>0</v>
      </c>
      <c r="H36" s="40">
        <f t="shared" ref="H36:H53" si="6">SUM(B36:G36)</f>
        <v>7.3258350761008657</v>
      </c>
      <c r="I36" s="40"/>
      <c r="J36" s="40">
        <v>11.270987400698168</v>
      </c>
      <c r="K36" s="1834">
        <f>H36-D36</f>
        <v>7.3258350761008657</v>
      </c>
      <c r="V36" s="173" t="s">
        <v>72</v>
      </c>
      <c r="W36" s="40">
        <f>B13-W13</f>
        <v>-52964.013020649552</v>
      </c>
      <c r="X36" s="40">
        <f t="shared" ref="X36:AC36" si="7">C13-X13</f>
        <v>-196253.09880253999</v>
      </c>
      <c r="Y36" s="40">
        <f t="shared" si="7"/>
        <v>1055439.1860469915</v>
      </c>
      <c r="Z36" s="40">
        <f t="shared" si="7"/>
        <v>-24116.869367996696</v>
      </c>
      <c r="AA36" s="40">
        <f t="shared" si="7"/>
        <v>-14368.698479811021</v>
      </c>
      <c r="AB36" s="40">
        <f t="shared" si="7"/>
        <v>160544.21339321276</v>
      </c>
      <c r="AC36" s="40">
        <f t="shared" si="7"/>
        <v>928280.71976920217</v>
      </c>
    </row>
    <row r="37" spans="1:29">
      <c r="A37" s="172" t="s">
        <v>93</v>
      </c>
      <c r="B37" s="44"/>
      <c r="C37" s="44"/>
      <c r="D37" s="44"/>
      <c r="E37" s="44">
        <f>'Grant Data'!D36</f>
        <v>0</v>
      </c>
      <c r="F37" s="44"/>
      <c r="G37" s="44">
        <f t="shared" si="5"/>
        <v>0</v>
      </c>
      <c r="H37" s="44">
        <f t="shared" si="6"/>
        <v>0</v>
      </c>
      <c r="I37" s="44"/>
      <c r="J37" s="44">
        <v>0</v>
      </c>
      <c r="K37" s="1834">
        <f t="shared" ref="K37:K53" si="8">H37-D37</f>
        <v>0</v>
      </c>
      <c r="L37" s="468" t="s">
        <v>630</v>
      </c>
      <c r="M37" s="607">
        <v>0</v>
      </c>
      <c r="N37" s="607">
        <v>0</v>
      </c>
      <c r="O37" s="607"/>
      <c r="P37" s="518">
        <v>0</v>
      </c>
      <c r="Q37" s="607">
        <v>0</v>
      </c>
      <c r="R37" s="607">
        <v>0</v>
      </c>
      <c r="V37" s="49" t="s">
        <v>73</v>
      </c>
      <c r="W37" s="44">
        <f t="shared" ref="W37:AC37" si="9">B14-W14</f>
        <v>-215324.74113913532</v>
      </c>
      <c r="X37" s="44">
        <f t="shared" si="9"/>
        <v>1162589.5385125456</v>
      </c>
      <c r="Y37" s="44">
        <f t="shared" si="9"/>
        <v>1235414.9134103637</v>
      </c>
      <c r="Z37" s="44">
        <f t="shared" si="9"/>
        <v>-644.38722460872532</v>
      </c>
      <c r="AA37" s="44">
        <f t="shared" si="9"/>
        <v>-28229.855820374563</v>
      </c>
      <c r="AB37" s="44">
        <f t="shared" si="9"/>
        <v>-126259.43067636853</v>
      </c>
      <c r="AC37" s="44">
        <f t="shared" si="9"/>
        <v>2027546.0370624214</v>
      </c>
    </row>
    <row r="38" spans="1:29">
      <c r="A38" s="49" t="s">
        <v>94</v>
      </c>
      <c r="B38" s="44"/>
      <c r="C38" s="44"/>
      <c r="D38" s="44"/>
      <c r="E38" s="44">
        <f>'Grant Data'!D37</f>
        <v>0</v>
      </c>
      <c r="F38" s="44"/>
      <c r="G38" s="44">
        <f t="shared" si="5"/>
        <v>0</v>
      </c>
      <c r="H38" s="44">
        <f t="shared" si="6"/>
        <v>0</v>
      </c>
      <c r="I38" s="44"/>
      <c r="J38" s="44">
        <v>0</v>
      </c>
      <c r="K38" s="1834">
        <f t="shared" si="8"/>
        <v>0</v>
      </c>
      <c r="V38" s="172" t="s">
        <v>74</v>
      </c>
      <c r="W38" s="44">
        <f t="shared" ref="W38:AC38" si="10">B15-W15</f>
        <v>88352.235998990946</v>
      </c>
      <c r="X38" s="44">
        <f t="shared" si="10"/>
        <v>897341.89873680286</v>
      </c>
      <c r="Y38" s="44">
        <f t="shared" si="10"/>
        <v>-471000</v>
      </c>
      <c r="Z38" s="44">
        <f t="shared" si="10"/>
        <v>32031.590285105864</v>
      </c>
      <c r="AA38" s="44">
        <f t="shared" si="10"/>
        <v>65527.541043738835</v>
      </c>
      <c r="AB38" s="44">
        <f t="shared" si="10"/>
        <v>60143.620725063607</v>
      </c>
      <c r="AC38" s="44">
        <f t="shared" si="10"/>
        <v>672396.88678970188</v>
      </c>
    </row>
    <row r="39" spans="1:29">
      <c r="A39" s="173" t="s">
        <v>95</v>
      </c>
      <c r="B39" s="40"/>
      <c r="C39" s="40"/>
      <c r="D39" s="40"/>
      <c r="E39" s="40">
        <f>'Grant Data'!D38</f>
        <v>0</v>
      </c>
      <c r="F39" s="40"/>
      <c r="G39" s="40">
        <f t="shared" si="5"/>
        <v>0</v>
      </c>
      <c r="H39" s="40">
        <f t="shared" si="6"/>
        <v>0</v>
      </c>
      <c r="I39" s="40"/>
      <c r="J39" s="40">
        <v>0</v>
      </c>
      <c r="K39" s="1834">
        <f t="shared" si="8"/>
        <v>0</v>
      </c>
      <c r="L39" s="148" t="s">
        <v>862</v>
      </c>
      <c r="V39" s="173" t="s">
        <v>75</v>
      </c>
      <c r="W39" s="40">
        <f t="shared" ref="W39:AC39" si="11">B16-W16</f>
        <v>-82482.24675788288</v>
      </c>
      <c r="X39" s="40">
        <f t="shared" si="11"/>
        <v>47929.981543290429</v>
      </c>
      <c r="Y39" s="40">
        <f t="shared" si="11"/>
        <v>-76552.424217644846</v>
      </c>
      <c r="Z39" s="40">
        <f t="shared" si="11"/>
        <v>-25752.25276978215</v>
      </c>
      <c r="AA39" s="40">
        <f t="shared" si="11"/>
        <v>-6360.676903338026</v>
      </c>
      <c r="AB39" s="40">
        <f t="shared" si="11"/>
        <v>163934.73968526977</v>
      </c>
      <c r="AC39" s="40">
        <f t="shared" si="11"/>
        <v>20717.120579912327</v>
      </c>
    </row>
    <row r="40" spans="1:29">
      <c r="A40" s="172" t="s">
        <v>96</v>
      </c>
      <c r="B40" s="44"/>
      <c r="C40" s="44"/>
      <c r="D40" s="44"/>
      <c r="E40" s="44">
        <f>'Grant Data'!D39</f>
        <v>44542.69768917637</v>
      </c>
      <c r="F40" s="44"/>
      <c r="G40" s="44">
        <f t="shared" si="5"/>
        <v>0</v>
      </c>
      <c r="H40" s="44">
        <f t="shared" si="6"/>
        <v>44542.69768917637</v>
      </c>
      <c r="I40" s="44"/>
      <c r="J40" s="44">
        <v>44327.798003614211</v>
      </c>
      <c r="K40" s="1834">
        <f t="shared" si="8"/>
        <v>44542.69768917637</v>
      </c>
      <c r="L40" s="609"/>
      <c r="M40" s="611"/>
      <c r="N40" s="611"/>
      <c r="O40" s="612"/>
      <c r="V40" s="49" t="s">
        <v>76</v>
      </c>
      <c r="W40" s="44">
        <f t="shared" ref="W40:AC40" si="12">B17-W17</f>
        <v>-310008.05412492063</v>
      </c>
      <c r="X40" s="44">
        <f t="shared" si="12"/>
        <v>-258549.65956316702</v>
      </c>
      <c r="Y40" s="44">
        <f t="shared" si="12"/>
        <v>265733.4298863993</v>
      </c>
      <c r="Z40" s="44">
        <f t="shared" si="12"/>
        <v>-53619.892744364101</v>
      </c>
      <c r="AA40" s="44">
        <f t="shared" si="12"/>
        <v>-44627.109419607907</v>
      </c>
      <c r="AB40" s="44">
        <f t="shared" si="12"/>
        <v>104067.11015287368</v>
      </c>
      <c r="AC40" s="44">
        <f t="shared" si="12"/>
        <v>-297004.17581278645</v>
      </c>
    </row>
    <row r="41" spans="1:29">
      <c r="A41" s="358" t="s">
        <v>474</v>
      </c>
      <c r="B41" s="44">
        <f>SUM(M30,M26)</f>
        <v>476176.44899038284</v>
      </c>
      <c r="C41" s="44">
        <f>SUM(N30,N26)</f>
        <v>0</v>
      </c>
      <c r="D41" s="44">
        <f>SUM(O30,O26)</f>
        <v>122753.29593494974</v>
      </c>
      <c r="E41" s="44">
        <f>'Grant Data'!D40</f>
        <v>847.89757825241929</v>
      </c>
      <c r="F41" s="44">
        <f>SUM(Q30,Q26)</f>
        <v>1957.2524357536504</v>
      </c>
      <c r="G41" s="44">
        <f>SUM(R30,R26)</f>
        <v>0</v>
      </c>
      <c r="H41" s="44">
        <f t="shared" si="6"/>
        <v>601734.89493933867</v>
      </c>
      <c r="I41" s="44"/>
      <c r="J41" s="44">
        <v>1799847.6342687528</v>
      </c>
      <c r="K41" s="1834">
        <f t="shared" si="8"/>
        <v>478981.5990043889</v>
      </c>
      <c r="L41" s="613"/>
      <c r="M41" s="432"/>
      <c r="N41" s="432"/>
      <c r="O41" s="614"/>
      <c r="V41" s="172" t="s">
        <v>77</v>
      </c>
      <c r="W41" s="44">
        <f t="shared" ref="W41:AC41" si="13">B18-W18</f>
        <v>55348.929895559326</v>
      </c>
      <c r="X41" s="44">
        <f t="shared" si="13"/>
        <v>2036.9414818381192</v>
      </c>
      <c r="Y41" s="44">
        <f t="shared" si="13"/>
        <v>594438.08922179416</v>
      </c>
      <c r="Z41" s="44">
        <f t="shared" si="13"/>
        <v>-3652.8421627048392</v>
      </c>
      <c r="AA41" s="44">
        <f t="shared" si="13"/>
        <v>-6686.8850107207254</v>
      </c>
      <c r="AB41" s="44">
        <f t="shared" si="13"/>
        <v>-61753.718674761243</v>
      </c>
      <c r="AC41" s="44">
        <f t="shared" si="13"/>
        <v>579730.51475100499</v>
      </c>
    </row>
    <row r="42" spans="1:29">
      <c r="A42" s="172" t="s">
        <v>97</v>
      </c>
      <c r="B42" s="44"/>
      <c r="C42" s="44"/>
      <c r="D42" s="44"/>
      <c r="E42" s="44">
        <f>'Grant Data'!D41</f>
        <v>4934.5384274804937</v>
      </c>
      <c r="F42" s="44"/>
      <c r="G42" s="44">
        <f t="shared" si="5"/>
        <v>0</v>
      </c>
      <c r="H42" s="44">
        <f t="shared" si="6"/>
        <v>4934.5384274804937</v>
      </c>
      <c r="I42" s="44"/>
      <c r="J42" s="44">
        <v>4485.8529854778708</v>
      </c>
      <c r="K42" s="1834">
        <f t="shared" si="8"/>
        <v>4934.5384274804937</v>
      </c>
      <c r="L42" s="613"/>
      <c r="M42" s="432"/>
      <c r="N42" s="432"/>
      <c r="O42" s="615"/>
      <c r="V42" s="173" t="s">
        <v>78</v>
      </c>
      <c r="W42" s="40">
        <f t="shared" ref="W42:AC42" si="14">B19-W19</f>
        <v>-451804.33441039547</v>
      </c>
      <c r="X42" s="40">
        <f t="shared" si="14"/>
        <v>-62720.68515198119</v>
      </c>
      <c r="Y42" s="40">
        <f t="shared" si="14"/>
        <v>1391740</v>
      </c>
      <c r="Z42" s="40">
        <f t="shared" si="14"/>
        <v>-70.533811755449278</v>
      </c>
      <c r="AA42" s="40">
        <f t="shared" si="14"/>
        <v>51855.590170730837</v>
      </c>
      <c r="AB42" s="40">
        <f t="shared" si="14"/>
        <v>-21376.872239743359</v>
      </c>
      <c r="AC42" s="40">
        <f t="shared" si="14"/>
        <v>907623.16455684602</v>
      </c>
    </row>
    <row r="43" spans="1:29">
      <c r="A43" s="173" t="s">
        <v>98</v>
      </c>
      <c r="B43" s="40"/>
      <c r="C43" s="40"/>
      <c r="D43" s="40"/>
      <c r="E43" s="40">
        <f>'Grant Data'!D42</f>
        <v>602.97011536474429</v>
      </c>
      <c r="F43" s="40"/>
      <c r="G43" s="40">
        <f t="shared" si="5"/>
        <v>0</v>
      </c>
      <c r="H43" s="40">
        <f t="shared" si="6"/>
        <v>602.97011536474429</v>
      </c>
      <c r="I43" s="40"/>
      <c r="J43" s="40">
        <v>5389.8439749492527</v>
      </c>
      <c r="K43" s="1834">
        <f t="shared" si="8"/>
        <v>602.97011536474429</v>
      </c>
      <c r="L43" s="613"/>
      <c r="M43" s="432"/>
      <c r="N43" s="432"/>
      <c r="O43" s="616"/>
      <c r="V43" s="172" t="s">
        <v>79</v>
      </c>
      <c r="W43" s="44">
        <f t="shared" ref="W43:AC43" si="15">B20-W20</f>
        <v>-133939.24923394481</v>
      </c>
      <c r="X43" s="44">
        <f t="shared" si="15"/>
        <v>56012.23291532381</v>
      </c>
      <c r="Y43" s="44">
        <f t="shared" si="15"/>
        <v>302067.76543516945</v>
      </c>
      <c r="Z43" s="44">
        <f t="shared" si="15"/>
        <v>77986.821938300971</v>
      </c>
      <c r="AA43" s="44">
        <f t="shared" si="15"/>
        <v>-4097.1724114975077</v>
      </c>
      <c r="AB43" s="44">
        <f t="shared" si="15"/>
        <v>-111027.7004239168</v>
      </c>
      <c r="AC43" s="44">
        <f t="shared" si="15"/>
        <v>187002.69821943529</v>
      </c>
    </row>
    <row r="44" spans="1:29">
      <c r="A44" s="172" t="s">
        <v>475</v>
      </c>
      <c r="B44" s="44"/>
      <c r="C44" s="44"/>
      <c r="D44" s="44"/>
      <c r="E44" s="44">
        <f>'Grant Data'!D43</f>
        <v>0</v>
      </c>
      <c r="F44" s="44"/>
      <c r="G44" s="44">
        <f t="shared" si="5"/>
        <v>0</v>
      </c>
      <c r="H44" s="44">
        <f t="shared" si="6"/>
        <v>0</v>
      </c>
      <c r="I44" s="44"/>
      <c r="J44" s="44">
        <v>0</v>
      </c>
      <c r="K44" s="1834">
        <f t="shared" si="8"/>
        <v>0</v>
      </c>
      <c r="L44" s="613"/>
      <c r="M44" s="432"/>
      <c r="N44" s="432"/>
      <c r="O44" s="610"/>
      <c r="V44" s="172" t="s">
        <v>80</v>
      </c>
      <c r="W44" s="44">
        <f t="shared" ref="W44:AC44" si="16">B21-W21</f>
        <v>-4610.0437555961253</v>
      </c>
      <c r="X44" s="44">
        <f t="shared" si="16"/>
        <v>0</v>
      </c>
      <c r="Y44" s="44">
        <f t="shared" si="16"/>
        <v>-35000</v>
      </c>
      <c r="Z44" s="44">
        <f t="shared" si="16"/>
        <v>22632.430749291118</v>
      </c>
      <c r="AA44" s="44">
        <f t="shared" si="16"/>
        <v>-912.00193208442943</v>
      </c>
      <c r="AB44" s="44">
        <f t="shared" si="16"/>
        <v>-90025.379851829726</v>
      </c>
      <c r="AC44" s="44">
        <f t="shared" si="16"/>
        <v>-107914.99479021924</v>
      </c>
    </row>
    <row r="45" spans="1:29">
      <c r="A45" s="49" t="s">
        <v>85</v>
      </c>
      <c r="B45" s="44"/>
      <c r="C45" s="44"/>
      <c r="D45" s="44"/>
      <c r="E45" s="44">
        <f>'Grant Data'!D44</f>
        <v>11213.601234313732</v>
      </c>
      <c r="F45" s="44"/>
      <c r="G45" s="44">
        <f t="shared" si="5"/>
        <v>0</v>
      </c>
      <c r="H45" s="44">
        <f t="shared" si="6"/>
        <v>11213.601234313732</v>
      </c>
      <c r="I45" s="44"/>
      <c r="J45" s="44">
        <v>14737.634858830854</v>
      </c>
      <c r="K45" s="1834">
        <f t="shared" si="8"/>
        <v>11213.601234313732</v>
      </c>
      <c r="L45" s="613"/>
      <c r="M45" s="432"/>
      <c r="N45" s="432"/>
      <c r="O45" s="617"/>
      <c r="V45" s="173" t="s">
        <v>81</v>
      </c>
      <c r="W45" s="40">
        <f t="shared" ref="W45:AC45" si="17">B22-W22</f>
        <v>589054.28136017546</v>
      </c>
      <c r="X45" s="40">
        <f t="shared" si="17"/>
        <v>122335.23754279315</v>
      </c>
      <c r="Y45" s="40">
        <f t="shared" si="17"/>
        <v>696000</v>
      </c>
      <c r="Z45" s="40">
        <f t="shared" si="17"/>
        <v>5642.6591694278177</v>
      </c>
      <c r="AA45" s="40">
        <f t="shared" si="17"/>
        <v>-960.85885734297335</v>
      </c>
      <c r="AB45" s="40">
        <f t="shared" si="17"/>
        <v>210982.36839956697</v>
      </c>
      <c r="AC45" s="40">
        <f t="shared" si="17"/>
        <v>1623053.6876146123</v>
      </c>
    </row>
    <row r="46" spans="1:29">
      <c r="A46" s="359" t="s">
        <v>99</v>
      </c>
      <c r="B46" s="221"/>
      <c r="C46" s="221"/>
      <c r="D46" s="221"/>
      <c r="E46" s="221">
        <f>'Grant Data'!D45</f>
        <v>0</v>
      </c>
      <c r="F46" s="221"/>
      <c r="G46" s="221">
        <f t="shared" si="5"/>
        <v>0</v>
      </c>
      <c r="H46" s="221">
        <f t="shared" si="6"/>
        <v>0</v>
      </c>
      <c r="I46" s="221"/>
      <c r="J46" s="221">
        <v>0</v>
      </c>
      <c r="K46" s="1834">
        <f t="shared" si="8"/>
        <v>0</v>
      </c>
      <c r="L46" s="613"/>
      <c r="M46" s="432"/>
      <c r="N46" s="432"/>
      <c r="O46" s="617"/>
      <c r="V46" s="172" t="s">
        <v>82</v>
      </c>
      <c r="W46" s="44">
        <f t="shared" ref="W46:AC46" si="18">B23-W23</f>
        <v>39411.011793828453</v>
      </c>
      <c r="X46" s="44">
        <f t="shared" si="18"/>
        <v>0</v>
      </c>
      <c r="Y46" s="44">
        <f t="shared" si="18"/>
        <v>0</v>
      </c>
      <c r="Z46" s="44">
        <f t="shared" si="18"/>
        <v>2713.9074843143753</v>
      </c>
      <c r="AA46" s="44">
        <f t="shared" si="18"/>
        <v>2336.1584427394882</v>
      </c>
      <c r="AB46" s="44">
        <f t="shared" si="18"/>
        <v>14010.969781048596</v>
      </c>
      <c r="AC46" s="44">
        <f t="shared" si="18"/>
        <v>58472.047501930967</v>
      </c>
    </row>
    <row r="47" spans="1:29">
      <c r="A47" s="172" t="s">
        <v>100</v>
      </c>
      <c r="B47" s="44">
        <f>SUM(M29)</f>
        <v>1245547.2916578825</v>
      </c>
      <c r="C47" s="44">
        <f>SUM(N29,N27)</f>
        <v>0</v>
      </c>
      <c r="D47" s="44">
        <f>SUM(O29)</f>
        <v>103251.23350251638</v>
      </c>
      <c r="E47" s="44">
        <f>'Grant Data'!D46</f>
        <v>9117.4344940086212</v>
      </c>
      <c r="F47" s="44">
        <f>SUM(Q29)</f>
        <v>1516.4298150884138</v>
      </c>
      <c r="G47" s="44">
        <f>SUM(R29,R27)</f>
        <v>0</v>
      </c>
      <c r="H47" s="44">
        <f t="shared" si="6"/>
        <v>1359432.3894694957</v>
      </c>
      <c r="I47" s="44"/>
      <c r="J47" s="44">
        <v>8787.0672884656724</v>
      </c>
      <c r="K47" s="1834">
        <f t="shared" si="8"/>
        <v>1256181.1559669795</v>
      </c>
      <c r="L47" s="618"/>
      <c r="M47" s="513"/>
      <c r="N47" s="513"/>
      <c r="O47" s="619"/>
      <c r="V47" s="172" t="s">
        <v>83</v>
      </c>
      <c r="W47" s="44">
        <f t="shared" ref="W47:AC47" si="19">B24-W24</f>
        <v>0</v>
      </c>
      <c r="X47" s="44">
        <f t="shared" si="19"/>
        <v>0</v>
      </c>
      <c r="Y47" s="44">
        <f t="shared" si="19"/>
        <v>0</v>
      </c>
      <c r="Z47" s="44">
        <f t="shared" si="19"/>
        <v>0</v>
      </c>
      <c r="AA47" s="44">
        <f t="shared" si="19"/>
        <v>0</v>
      </c>
      <c r="AB47" s="44">
        <f t="shared" si="19"/>
        <v>0</v>
      </c>
      <c r="AC47" s="44">
        <f t="shared" si="19"/>
        <v>0</v>
      </c>
    </row>
    <row r="48" spans="1:29">
      <c r="A48" s="172" t="s">
        <v>101</v>
      </c>
      <c r="B48" s="44"/>
      <c r="C48" s="44"/>
      <c r="D48" s="44"/>
      <c r="E48" s="44">
        <f>'Grant Data'!D47</f>
        <v>0</v>
      </c>
      <c r="F48" s="44"/>
      <c r="G48" s="44">
        <f t="shared" si="5"/>
        <v>0</v>
      </c>
      <c r="H48" s="44">
        <f t="shared" si="6"/>
        <v>0</v>
      </c>
      <c r="I48" s="44"/>
      <c r="J48" s="44">
        <v>0</v>
      </c>
      <c r="K48" s="1834">
        <f t="shared" si="8"/>
        <v>0</v>
      </c>
      <c r="V48" s="173" t="s">
        <v>84</v>
      </c>
      <c r="W48" s="40">
        <f t="shared" ref="W48:AC48" si="20">B25-W25</f>
        <v>-901875.43786263943</v>
      </c>
      <c r="X48" s="40">
        <f t="shared" si="20"/>
        <v>-74726.421414198703</v>
      </c>
      <c r="Y48" s="40">
        <f t="shared" si="20"/>
        <v>13670.080998081467</v>
      </c>
      <c r="Z48" s="40">
        <f t="shared" si="20"/>
        <v>0</v>
      </c>
      <c r="AA48" s="40">
        <f t="shared" si="20"/>
        <v>289.58329948693108</v>
      </c>
      <c r="AB48" s="40">
        <f t="shared" si="20"/>
        <v>0</v>
      </c>
      <c r="AC48" s="40">
        <f t="shared" si="20"/>
        <v>-962642.19497926976</v>
      </c>
    </row>
    <row r="49" spans="1:29">
      <c r="A49" s="359" t="s">
        <v>102</v>
      </c>
      <c r="B49" s="221"/>
      <c r="C49" s="221"/>
      <c r="D49" s="221"/>
      <c r="E49" s="221">
        <f>'Grant Data'!D48</f>
        <v>0</v>
      </c>
      <c r="F49" s="221"/>
      <c r="G49" s="221">
        <f t="shared" si="5"/>
        <v>0</v>
      </c>
      <c r="H49" s="221">
        <f t="shared" si="6"/>
        <v>0</v>
      </c>
      <c r="I49" s="221"/>
      <c r="J49" s="221">
        <v>0</v>
      </c>
      <c r="K49" s="1834">
        <f t="shared" si="8"/>
        <v>0</v>
      </c>
      <c r="O49" s="516"/>
      <c r="V49" s="49" t="s">
        <v>86</v>
      </c>
      <c r="W49" s="44">
        <f t="shared" ref="W49:AC49" si="21">B26-W26</f>
        <v>0</v>
      </c>
      <c r="X49" s="44">
        <f t="shared" si="21"/>
        <v>0</v>
      </c>
      <c r="Y49" s="44">
        <f t="shared" si="21"/>
        <v>0</v>
      </c>
      <c r="Z49" s="44">
        <f t="shared" si="21"/>
        <v>0</v>
      </c>
      <c r="AA49" s="44">
        <f t="shared" si="21"/>
        <v>0</v>
      </c>
      <c r="AB49" s="44">
        <f t="shared" si="21"/>
        <v>0</v>
      </c>
      <c r="AC49" s="44">
        <f t="shared" si="21"/>
        <v>0</v>
      </c>
    </row>
    <row r="50" spans="1:29">
      <c r="A50" s="172" t="s">
        <v>103</v>
      </c>
      <c r="B50" s="44"/>
      <c r="C50" s="44"/>
      <c r="D50" s="44"/>
      <c r="E50" s="44">
        <f>'Grant Data'!D49</f>
        <v>435.06190005183799</v>
      </c>
      <c r="F50" s="44"/>
      <c r="G50" s="44">
        <f t="shared" si="5"/>
        <v>0</v>
      </c>
      <c r="H50" s="44">
        <f t="shared" si="6"/>
        <v>435.06190005183799</v>
      </c>
      <c r="I50" s="44"/>
      <c r="J50" s="44">
        <v>233.64018326917343</v>
      </c>
      <c r="K50" s="1834">
        <f t="shared" si="8"/>
        <v>435.06190005183799</v>
      </c>
      <c r="V50" s="172" t="s">
        <v>87</v>
      </c>
      <c r="W50" s="44">
        <f t="shared" ref="W50:AC50" si="22">B27-W27</f>
        <v>0</v>
      </c>
      <c r="X50" s="44">
        <f t="shared" si="22"/>
        <v>0</v>
      </c>
      <c r="Y50" s="44">
        <f t="shared" si="22"/>
        <v>0</v>
      </c>
      <c r="Z50" s="44">
        <f t="shared" si="22"/>
        <v>0</v>
      </c>
      <c r="AA50" s="44">
        <f t="shared" si="22"/>
        <v>0</v>
      </c>
      <c r="AB50" s="44">
        <f t="shared" si="22"/>
        <v>0</v>
      </c>
      <c r="AC50" s="44">
        <f t="shared" si="22"/>
        <v>0</v>
      </c>
    </row>
    <row r="51" spans="1:29">
      <c r="A51" s="172" t="s">
        <v>450</v>
      </c>
      <c r="B51" s="44"/>
      <c r="C51" s="44"/>
      <c r="D51" s="44"/>
      <c r="E51" s="44">
        <f>'Grant Data'!D50</f>
        <v>0</v>
      </c>
      <c r="F51" s="44"/>
      <c r="G51" s="44">
        <f t="shared" si="5"/>
        <v>0</v>
      </c>
      <c r="H51" s="44">
        <f t="shared" si="6"/>
        <v>0</v>
      </c>
      <c r="I51" s="44"/>
      <c r="J51" s="44">
        <v>0</v>
      </c>
      <c r="K51" s="1834">
        <f t="shared" si="8"/>
        <v>0</v>
      </c>
      <c r="M51" s="148" t="s">
        <v>1882</v>
      </c>
      <c r="N51" s="1721">
        <v>70833985.118200421</v>
      </c>
      <c r="V51" s="359" t="s">
        <v>452</v>
      </c>
      <c r="W51" s="221">
        <f t="shared" ref="W51:AC51" si="23">B28-W28</f>
        <v>-140331.73879134739</v>
      </c>
      <c r="X51" s="221">
        <f t="shared" si="23"/>
        <v>0</v>
      </c>
      <c r="Y51" s="221">
        <f t="shared" si="23"/>
        <v>-186000</v>
      </c>
      <c r="Z51" s="221">
        <f t="shared" si="23"/>
        <v>0</v>
      </c>
      <c r="AA51" s="221">
        <f t="shared" si="23"/>
        <v>-1628.7628889964601</v>
      </c>
      <c r="AB51" s="221">
        <f t="shared" si="23"/>
        <v>0</v>
      </c>
      <c r="AC51" s="221">
        <f t="shared" si="23"/>
        <v>-327960.50168034382</v>
      </c>
    </row>
    <row r="52" spans="1:29">
      <c r="A52" s="377" t="s">
        <v>476</v>
      </c>
      <c r="B52" s="221"/>
      <c r="C52" s="221"/>
      <c r="D52" s="221"/>
      <c r="E52" s="221">
        <f>'Grant Data'!D51</f>
        <v>0</v>
      </c>
      <c r="F52" s="221"/>
      <c r="G52" s="221">
        <f t="shared" si="5"/>
        <v>0</v>
      </c>
      <c r="H52" s="221">
        <f t="shared" si="6"/>
        <v>0</v>
      </c>
      <c r="I52" s="221"/>
      <c r="J52" s="221">
        <v>0</v>
      </c>
      <c r="K52" s="1834">
        <f t="shared" si="8"/>
        <v>0</v>
      </c>
      <c r="M52" s="148" t="s">
        <v>1883</v>
      </c>
      <c r="N52" s="1721">
        <v>41386148.60838677</v>
      </c>
      <c r="V52" s="358" t="s">
        <v>453</v>
      </c>
      <c r="W52" s="44">
        <f t="shared" ref="W52:AC52" si="24">B29-W29</f>
        <v>5734.6000678033452</v>
      </c>
      <c r="X52" s="44">
        <f t="shared" si="24"/>
        <v>0</v>
      </c>
      <c r="Y52" s="44">
        <f t="shared" si="24"/>
        <v>12497.197617188271</v>
      </c>
      <c r="Z52" s="44">
        <f t="shared" si="24"/>
        <v>0</v>
      </c>
      <c r="AA52" s="44">
        <f t="shared" si="24"/>
        <v>5943.7262786122374</v>
      </c>
      <c r="AB52" s="44">
        <f t="shared" si="24"/>
        <v>-219919.7468553044</v>
      </c>
      <c r="AC52" s="44">
        <f t="shared" si="24"/>
        <v>-195744.22289170022</v>
      </c>
    </row>
    <row r="53" spans="1:29">
      <c r="A53" s="172" t="s">
        <v>104</v>
      </c>
      <c r="B53" s="44"/>
      <c r="C53" s="44"/>
      <c r="D53" s="44"/>
      <c r="E53" s="44">
        <f>'Grant Data'!D52</f>
        <v>0</v>
      </c>
      <c r="F53" s="44"/>
      <c r="G53" s="44">
        <f t="shared" si="5"/>
        <v>0</v>
      </c>
      <c r="H53" s="44">
        <f t="shared" si="6"/>
        <v>0</v>
      </c>
      <c r="I53" s="44"/>
      <c r="J53" s="44">
        <v>0</v>
      </c>
      <c r="K53" s="1834">
        <f t="shared" si="8"/>
        <v>0</v>
      </c>
      <c r="M53" s="148" t="s">
        <v>1884</v>
      </c>
      <c r="N53" s="1721">
        <v>31835498.929528285</v>
      </c>
      <c r="V53" s="172" t="s">
        <v>88</v>
      </c>
      <c r="W53" s="44">
        <f t="shared" ref="W53:AC53" si="25">B30-W30</f>
        <v>0</v>
      </c>
      <c r="X53" s="44">
        <f t="shared" si="25"/>
        <v>0</v>
      </c>
      <c r="Y53" s="44">
        <f t="shared" si="25"/>
        <v>0</v>
      </c>
      <c r="Z53" s="44">
        <f t="shared" si="25"/>
        <v>-1324.0840466405721</v>
      </c>
      <c r="AA53" s="44">
        <f t="shared" si="25"/>
        <v>0</v>
      </c>
      <c r="AB53" s="44">
        <f t="shared" si="25"/>
        <v>0</v>
      </c>
      <c r="AC53" s="44">
        <f t="shared" si="25"/>
        <v>-1324.0840466405721</v>
      </c>
    </row>
    <row r="54" spans="1:29">
      <c r="A54" s="366" t="s">
        <v>105</v>
      </c>
      <c r="B54" s="620">
        <f t="shared" ref="B54:H54" si="26">SUM(B36:B53)</f>
        <v>1721723.7406482655</v>
      </c>
      <c r="C54" s="620">
        <f t="shared" si="26"/>
        <v>0</v>
      </c>
      <c r="D54" s="620">
        <f>SUM(D36:D53)</f>
        <v>226004.52943746612</v>
      </c>
      <c r="E54" s="620">
        <f t="shared" si="26"/>
        <v>71701.527273724321</v>
      </c>
      <c r="F54" s="620">
        <f t="shared" si="26"/>
        <v>3473.6822508420641</v>
      </c>
      <c r="G54" s="620">
        <f t="shared" si="26"/>
        <v>0</v>
      </c>
      <c r="H54" s="620">
        <f t="shared" si="26"/>
        <v>2022903.4796102976</v>
      </c>
      <c r="I54" s="1772"/>
      <c r="J54" s="620">
        <v>1877820.7425507605</v>
      </c>
      <c r="K54" s="1834"/>
      <c r="M54" s="148" t="s">
        <v>65</v>
      </c>
      <c r="N54" s="1721">
        <v>61382452.767835811</v>
      </c>
      <c r="V54" s="359" t="s">
        <v>89</v>
      </c>
      <c r="W54" s="221">
        <f t="shared" ref="W54:AC54" si="27">B31-W31</f>
        <v>0</v>
      </c>
      <c r="X54" s="221">
        <f t="shared" si="27"/>
        <v>0</v>
      </c>
      <c r="Y54" s="221">
        <f t="shared" si="27"/>
        <v>0</v>
      </c>
      <c r="Z54" s="40">
        <f t="shared" si="27"/>
        <v>-261.80479230254423</v>
      </c>
      <c r="AA54" s="221">
        <f t="shared" si="27"/>
        <v>0</v>
      </c>
      <c r="AB54" s="221">
        <f t="shared" si="27"/>
        <v>0</v>
      </c>
      <c r="AC54" s="221">
        <f t="shared" si="27"/>
        <v>-261.80479230254423</v>
      </c>
    </row>
    <row r="55" spans="1:29" ht="16.5" thickBot="1">
      <c r="A55" s="368" t="s">
        <v>106</v>
      </c>
      <c r="B55" s="369">
        <f>B6+B7+B8+B9+B10+B32+B54</f>
        <v>70837135.831916109</v>
      </c>
      <c r="C55" s="369">
        <f>C6+C7+C8+C9+C10+C32+C54</f>
        <v>41387989.474827394</v>
      </c>
      <c r="D55" s="369">
        <f>D6+D7+D8+D9+D10+D32+D54</f>
        <v>61382452.767835803</v>
      </c>
      <c r="E55" s="369">
        <f>F6+F7+F8+F9+F10+E32+E54</f>
        <v>7959228.7451591119</v>
      </c>
      <c r="F55" s="369">
        <f>F6+F7+F8+F9+F10+F32+F54</f>
        <v>7163305.8706432031</v>
      </c>
      <c r="G55" s="369">
        <f>G6+G7+G8+G9+G10+G32+G54</f>
        <v>31836914.980636451</v>
      </c>
      <c r="H55" s="369">
        <f>SUM(B55:G55)</f>
        <v>220567027.67101806</v>
      </c>
      <c r="I55" s="1773"/>
      <c r="J55" s="369">
        <v>215309974.03610665</v>
      </c>
      <c r="K55" s="1834">
        <f>H55-D55</f>
        <v>159184574.90318227</v>
      </c>
      <c r="M55" s="148" t="s">
        <v>398</v>
      </c>
      <c r="N55" s="1721">
        <v>7958874.7323820712</v>
      </c>
      <c r="V55" s="362" t="s">
        <v>90</v>
      </c>
      <c r="W55" s="1771">
        <f t="shared" ref="W55:AC55" si="28">B32-W32</f>
        <v>-1515438.7999801487</v>
      </c>
      <c r="X55" s="1771">
        <f t="shared" si="28"/>
        <v>1695995.9658007175</v>
      </c>
      <c r="Y55" s="1771">
        <f t="shared" si="28"/>
        <v>4798448.2383983359</v>
      </c>
      <c r="Z55" s="1771">
        <f t="shared" si="28"/>
        <v>31564.742706284858</v>
      </c>
      <c r="AA55" s="1771">
        <f t="shared" si="28"/>
        <v>18080.57751153782</v>
      </c>
      <c r="AB55" s="1771">
        <f t="shared" si="28"/>
        <v>83320.17341511324</v>
      </c>
      <c r="AC55" s="1771">
        <f t="shared" si="28"/>
        <v>5111970.8978517354</v>
      </c>
    </row>
    <row r="56" spans="1:29" ht="16.5" thickTop="1">
      <c r="H56" s="315">
        <f>H32+H54</f>
        <v>220567027.671018</v>
      </c>
      <c r="I56" s="315"/>
      <c r="J56" s="315"/>
      <c r="M56" s="148" t="s">
        <v>1885</v>
      </c>
      <c r="N56" s="1721">
        <v>6367099.7859056573</v>
      </c>
      <c r="O56" s="185">
        <f>SUM(N56:N57)</f>
        <v>7162987.2591438647</v>
      </c>
      <c r="W56" s="12">
        <f>B32-W32</f>
        <v>-1515438.7999801487</v>
      </c>
      <c r="X56" s="12">
        <f t="shared" ref="X56:AC56" si="29">C33-X33</f>
        <v>0</v>
      </c>
      <c r="Y56" s="12">
        <f t="shared" si="29"/>
        <v>0</v>
      </c>
      <c r="Z56" s="12">
        <f t="shared" si="29"/>
        <v>0</v>
      </c>
      <c r="AA56" s="12">
        <f t="shared" si="29"/>
        <v>0</v>
      </c>
      <c r="AB56" s="12">
        <f t="shared" si="29"/>
        <v>0</v>
      </c>
      <c r="AC56" s="12">
        <f t="shared" si="29"/>
        <v>0</v>
      </c>
    </row>
    <row r="57" spans="1:29">
      <c r="B57" s="12">
        <f>B55-M32</f>
        <v>0</v>
      </c>
      <c r="C57" s="12">
        <f>C55-N32</f>
        <v>0</v>
      </c>
      <c r="D57" s="622">
        <f>D55-O32</f>
        <v>0</v>
      </c>
      <c r="H57" s="12">
        <f>'Step 2 Productivity Split'!C12</f>
        <v>220567027.67101803</v>
      </c>
      <c r="I57" s="12"/>
      <c r="J57" s="12"/>
      <c r="K57" s="12"/>
      <c r="M57" s="148" t="s">
        <v>1886</v>
      </c>
      <c r="N57" s="1721">
        <v>795887.47323820717</v>
      </c>
    </row>
    <row r="58" spans="1:29">
      <c r="K58" s="12"/>
      <c r="M58" s="148"/>
      <c r="N58" s="1721">
        <v>220559947.41547719</v>
      </c>
    </row>
    <row r="59" spans="1:29">
      <c r="H59" s="315"/>
      <c r="I59" s="315"/>
      <c r="J59" s="315"/>
    </row>
  </sheetData>
  <mergeCells count="3">
    <mergeCell ref="B4:H4"/>
    <mergeCell ref="L4:R4"/>
    <mergeCell ref="W4:AC4"/>
  </mergeCells>
  <phoneticPr fontId="52" type="noConversion"/>
  <pageMargins left="0.75" right="0.75" top="1" bottom="1" header="0.5" footer="0.5"/>
  <pageSetup orientation="portrait" horizontalDpi="4294967292" verticalDpi="4294967292"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11"/>
  <sheetViews>
    <sheetView zoomScale="98" workbookViewId="0">
      <selection activeCell="B54" sqref="B54"/>
    </sheetView>
  </sheetViews>
  <sheetFormatPr defaultColWidth="11" defaultRowHeight="15.75"/>
  <cols>
    <col min="1" max="1" width="21.5" customWidth="1"/>
    <col min="2" max="3" width="14.125" customWidth="1"/>
    <col min="4" max="4" width="15.125" customWidth="1"/>
    <col min="5" max="5" width="7.875" style="42" customWidth="1"/>
    <col min="6" max="6" width="19.875" customWidth="1"/>
    <col min="11" max="11" width="11" customWidth="1"/>
    <col min="12" max="15" width="11" style="42" customWidth="1"/>
    <col min="16" max="16" width="11.5" customWidth="1"/>
    <col min="23" max="26" width="12.625" customWidth="1"/>
    <col min="27" max="27" width="10" customWidth="1"/>
  </cols>
  <sheetData>
    <row r="1" spans="2:26">
      <c r="B1" s="10" t="s">
        <v>501</v>
      </c>
      <c r="Q1" s="1" t="s">
        <v>792</v>
      </c>
    </row>
    <row r="2" spans="2:26" ht="16.5" thickBot="1">
      <c r="B2" s="10"/>
      <c r="O2" s="907" t="s">
        <v>764</v>
      </c>
      <c r="Q2" s="1" t="s">
        <v>793</v>
      </c>
    </row>
    <row r="3" spans="2:26" ht="16.5" thickBot="1">
      <c r="B3" s="418" t="s">
        <v>290</v>
      </c>
      <c r="C3" s="419" t="s">
        <v>249</v>
      </c>
      <c r="D3" s="420" t="s">
        <v>291</v>
      </c>
      <c r="E3" s="473"/>
      <c r="F3" s="148"/>
      <c r="G3" s="148"/>
      <c r="H3" s="910" t="s">
        <v>400</v>
      </c>
      <c r="I3" s="911"/>
      <c r="J3" s="911"/>
      <c r="K3" s="901" t="s">
        <v>502</v>
      </c>
      <c r="L3" s="421"/>
      <c r="M3" s="424" t="s">
        <v>504</v>
      </c>
      <c r="N3" s="904">
        <v>0.70499999999999996</v>
      </c>
      <c r="O3" s="429">
        <v>1</v>
      </c>
    </row>
    <row r="4" spans="2:26" ht="16.5" thickBot="1">
      <c r="B4" s="422" t="s">
        <v>251</v>
      </c>
      <c r="C4" s="423" t="s">
        <v>294</v>
      </c>
      <c r="D4" s="1955">
        <f>'Dashboard-Academic Allocation'!C20</f>
        <v>0.44</v>
      </c>
      <c r="E4" s="474"/>
      <c r="F4" s="148"/>
      <c r="G4" s="148"/>
      <c r="H4" s="148"/>
      <c r="I4" s="148"/>
      <c r="J4" s="148"/>
      <c r="K4" s="148"/>
      <c r="L4" s="149"/>
      <c r="M4" s="428" t="s">
        <v>505</v>
      </c>
      <c r="N4" s="905">
        <v>1.0169999999999999</v>
      </c>
      <c r="O4" s="430">
        <v>1.4239999999999999</v>
      </c>
      <c r="Q4" s="990"/>
    </row>
    <row r="5" spans="2:26" ht="16.5" thickBot="1">
      <c r="B5" s="425"/>
      <c r="C5" s="426" t="s">
        <v>403</v>
      </c>
      <c r="D5" s="1956"/>
      <c r="E5" s="474"/>
      <c r="F5" s="148"/>
      <c r="G5" s="148"/>
      <c r="H5" s="910" t="s">
        <v>503</v>
      </c>
      <c r="I5" s="911"/>
      <c r="J5" s="911"/>
      <c r="K5" s="901" t="s">
        <v>502</v>
      </c>
      <c r="L5" s="148"/>
      <c r="M5" s="427" t="s">
        <v>506</v>
      </c>
      <c r="N5" s="906">
        <v>2.0489999999999999</v>
      </c>
      <c r="O5" s="431">
        <v>2.8250000000000002</v>
      </c>
    </row>
    <row r="6" spans="2:26" ht="16.5" thickBot="1">
      <c r="B6" s="425"/>
      <c r="C6" s="426" t="s">
        <v>404</v>
      </c>
      <c r="D6" s="1956"/>
      <c r="E6" s="474"/>
      <c r="F6" s="148"/>
      <c r="G6" s="148"/>
      <c r="H6" s="148"/>
      <c r="I6" s="148"/>
      <c r="J6" s="148"/>
      <c r="K6" s="148"/>
      <c r="L6" s="148"/>
      <c r="M6" s="148"/>
      <c r="N6" s="148"/>
      <c r="O6" s="148"/>
    </row>
    <row r="7" spans="2:26" ht="16.5" thickBot="1">
      <c r="B7" s="279"/>
      <c r="C7" s="280" t="s">
        <v>253</v>
      </c>
      <c r="D7" s="908">
        <f>'Dashboard-Academic Allocation'!C23</f>
        <v>5.0000000000000001E-3</v>
      </c>
      <c r="E7" s="475"/>
      <c r="G7" s="912" t="s">
        <v>575</v>
      </c>
      <c r="H7" s="913"/>
      <c r="I7" s="913"/>
      <c r="J7" s="913"/>
      <c r="K7" s="903" t="s">
        <v>941</v>
      </c>
      <c r="L7"/>
      <c r="M7"/>
      <c r="N7"/>
      <c r="O7"/>
    </row>
    <row r="8" spans="2:26" ht="16.5" thickBot="1">
      <c r="L8"/>
      <c r="M8"/>
      <c r="N8"/>
      <c r="O8"/>
    </row>
    <row r="9" spans="2:26" ht="16.5" thickBot="1">
      <c r="F9" s="10"/>
      <c r="G9" s="912" t="s">
        <v>858</v>
      </c>
      <c r="H9" s="913"/>
      <c r="I9" s="913"/>
      <c r="J9" s="913"/>
      <c r="K9" s="903" t="s">
        <v>941</v>
      </c>
      <c r="L9"/>
      <c r="M9"/>
      <c r="N9"/>
      <c r="O9"/>
      <c r="R9" t="s">
        <v>1649</v>
      </c>
      <c r="U9" s="455"/>
    </row>
    <row r="10" spans="2:26" ht="16.5" thickBot="1">
      <c r="R10" s="10" t="s">
        <v>532</v>
      </c>
    </row>
    <row r="11" spans="2:26" ht="16.5" thickBot="1">
      <c r="B11" s="477" t="s">
        <v>538</v>
      </c>
      <c r="C11" s="478"/>
      <c r="D11" s="909">
        <f>'Dashboard-Academic Allocation'!D20</f>
        <v>70041212.957400188</v>
      </c>
      <c r="G11" s="1019" t="s">
        <v>868</v>
      </c>
      <c r="H11" s="1020"/>
      <c r="I11" s="1020"/>
      <c r="J11" s="1020"/>
      <c r="K11" s="1050" t="str">
        <f>'Dashboard-Academic Allocation'!C14</f>
        <v>yes</v>
      </c>
      <c r="V11" s="454"/>
    </row>
    <row r="12" spans="2:26" ht="26.25" thickBot="1">
      <c r="R12" s="432"/>
      <c r="S12" s="433" t="s">
        <v>507</v>
      </c>
      <c r="T12" s="433" t="s">
        <v>508</v>
      </c>
      <c r="U12" s="433" t="s">
        <v>509</v>
      </c>
      <c r="V12" s="433">
        <v>2016</v>
      </c>
      <c r="W12" s="433">
        <v>2017</v>
      </c>
      <c r="X12" s="433">
        <v>2018</v>
      </c>
      <c r="Y12" s="433" t="s">
        <v>1648</v>
      </c>
      <c r="Z12" s="433" t="s">
        <v>1165</v>
      </c>
    </row>
    <row r="13" spans="2:26" ht="16.5" thickBot="1">
      <c r="B13" s="477" t="s">
        <v>1243</v>
      </c>
      <c r="C13" s="478"/>
      <c r="D13" s="909" t="s">
        <v>176</v>
      </c>
      <c r="R13" s="434"/>
      <c r="S13" s="148"/>
      <c r="T13" s="148"/>
      <c r="U13" s="148"/>
      <c r="V13" s="148"/>
    </row>
    <row r="14" spans="2:26" ht="25.5">
      <c r="R14" s="440" t="s">
        <v>530</v>
      </c>
      <c r="S14" s="1237">
        <v>865378</v>
      </c>
      <c r="T14" s="1237">
        <v>881265</v>
      </c>
      <c r="U14" s="1237">
        <v>876229</v>
      </c>
      <c r="V14" s="1237">
        <f>SUM(V16,V37,V59,V82,V103,V129,V152)</f>
        <v>870015</v>
      </c>
      <c r="W14" s="1237">
        <f>SUM(W16,W37,W59,W82,W103,W129,W152)</f>
        <v>865525</v>
      </c>
      <c r="X14" s="1237">
        <f>SUM(X16,X37,X59,X82,X103,X129,X152,X107)</f>
        <v>850665</v>
      </c>
      <c r="Y14" s="1237"/>
      <c r="Z14" s="1237"/>
    </row>
    <row r="15" spans="2:26">
      <c r="R15" s="434"/>
      <c r="S15" s="434"/>
      <c r="T15" s="434"/>
      <c r="U15" s="434"/>
      <c r="V15" s="434"/>
      <c r="X15" s="1191"/>
      <c r="Y15" s="1191"/>
    </row>
    <row r="16" spans="2:26">
      <c r="R16" s="1082" t="s">
        <v>511</v>
      </c>
      <c r="S16" s="1083">
        <v>17924</v>
      </c>
      <c r="T16" s="1083">
        <v>17893</v>
      </c>
      <c r="U16" s="1083">
        <v>17643</v>
      </c>
      <c r="V16" s="1083">
        <f>'SCH data and adjusts'!B9</f>
        <v>16937</v>
      </c>
      <c r="W16" s="1238">
        <f>'SCH data and adjusts'!C9</f>
        <v>16082</v>
      </c>
      <c r="X16" s="1697">
        <f>'SCH data and adjusts'!D9</f>
        <v>14018</v>
      </c>
      <c r="Y16" s="1698">
        <f>'SCH data and adjusts'!E9</f>
        <v>12410</v>
      </c>
      <c r="Z16" s="1238"/>
    </row>
    <row r="17" spans="1:51">
      <c r="A17" s="914" t="s">
        <v>790</v>
      </c>
      <c r="B17" s="914" t="s">
        <v>790</v>
      </c>
      <c r="C17" s="914"/>
      <c r="D17" s="914"/>
      <c r="F17" s="458" t="s">
        <v>535</v>
      </c>
      <c r="G17" s="458"/>
      <c r="H17" s="458"/>
      <c r="I17" s="458"/>
      <c r="J17" s="458"/>
      <c r="K17" s="458"/>
      <c r="L17" s="458"/>
      <c r="M17" s="458"/>
      <c r="N17" s="458"/>
      <c r="O17" s="458"/>
      <c r="P17" s="211"/>
      <c r="R17" s="434"/>
      <c r="S17" s="434"/>
      <c r="T17" s="434"/>
      <c r="U17" s="434"/>
      <c r="V17" s="434"/>
      <c r="W17" s="434"/>
      <c r="X17" s="1519"/>
      <c r="Y17" s="1519"/>
      <c r="Z17" s="434"/>
    </row>
    <row r="18" spans="1:51" ht="25.5">
      <c r="A18" s="459"/>
      <c r="B18" s="460" t="s">
        <v>875</v>
      </c>
      <c r="C18" s="460" t="s">
        <v>1217</v>
      </c>
      <c r="D18" s="460" t="s">
        <v>1659</v>
      </c>
      <c r="E18" s="476"/>
      <c r="F18" s="459"/>
      <c r="G18" s="460" t="s">
        <v>875</v>
      </c>
      <c r="H18" s="460"/>
      <c r="I18" s="460" t="s">
        <v>1217</v>
      </c>
      <c r="J18" s="459"/>
      <c r="K18" s="460" t="s">
        <v>1659</v>
      </c>
      <c r="L18" s="460"/>
      <c r="M18" s="460"/>
      <c r="N18" s="1012"/>
      <c r="O18" s="1012"/>
      <c r="P18" s="1012"/>
      <c r="R18" s="439" t="s">
        <v>512</v>
      </c>
      <c r="S18" s="440"/>
      <c r="T18" s="440"/>
      <c r="U18" s="440"/>
      <c r="V18" s="440"/>
      <c r="W18" s="440"/>
      <c r="X18" s="1520"/>
      <c r="Y18" s="1520"/>
      <c r="Z18" s="440"/>
    </row>
    <row r="19" spans="1:51">
      <c r="A19" s="461" t="s">
        <v>513</v>
      </c>
      <c r="B19" s="435">
        <f>G19*D$11</f>
        <v>3881014.0118819191</v>
      </c>
      <c r="C19" s="435">
        <f>I19*D$11</f>
        <v>4040512.5040335106</v>
      </c>
      <c r="D19" s="435">
        <f>K19*D$11</f>
        <v>4163546.4808684601</v>
      </c>
      <c r="E19" s="782"/>
      <c r="F19" s="461" t="s">
        <v>513</v>
      </c>
      <c r="G19" s="470">
        <f>(B41+C41+D41)/(B$59+C$59+D$59)</f>
        <v>5.5410434057479745E-2</v>
      </c>
      <c r="H19" s="462"/>
      <c r="I19" s="470">
        <f>(G41+H41+I41)/(G$59+H$59+I$59)</f>
        <v>5.7687643223583142E-2</v>
      </c>
      <c r="J19" s="186"/>
      <c r="K19" s="470">
        <f>(K41+L41+M41)/(K$59+L$59+M$59)</f>
        <v>5.9444237257866642E-2</v>
      </c>
      <c r="L19" s="462"/>
      <c r="M19" s="462"/>
      <c r="N19" s="1014"/>
      <c r="O19" s="1014"/>
      <c r="R19" s="461" t="s">
        <v>513</v>
      </c>
      <c r="S19" s="435">
        <v>5785</v>
      </c>
      <c r="T19" s="435">
        <v>5765</v>
      </c>
      <c r="U19" s="435">
        <v>6174</v>
      </c>
      <c r="V19" s="435">
        <f>'SCH data and adjusts'!B12</f>
        <v>5425</v>
      </c>
      <c r="W19" s="435">
        <f>'SCH data and adjusts'!C12</f>
        <v>4824</v>
      </c>
      <c r="X19" s="1518">
        <f>'SCH data and adjusts'!D12</f>
        <v>5021</v>
      </c>
      <c r="Y19" s="985">
        <f>'SCH data and adjusts'!E12</f>
        <v>4135</v>
      </c>
      <c r="Z19" s="435">
        <f>3*'What If Data'!C25+3*'What If Data'!T25</f>
        <v>0</v>
      </c>
    </row>
    <row r="20" spans="1:51">
      <c r="A20" s="461" t="s">
        <v>6</v>
      </c>
      <c r="B20" s="435">
        <f t="shared" ref="B20:B30" si="0">G20*D$11</f>
        <v>4843324.9120185496</v>
      </c>
      <c r="C20" s="435">
        <f t="shared" ref="C20:C30" si="1">I20*D$11</f>
        <v>4919421.5091676544</v>
      </c>
      <c r="D20" s="435">
        <f t="shared" ref="D20:D30" si="2">K20*D$11</f>
        <v>5630078.2145087924</v>
      </c>
      <c r="E20" s="782"/>
      <c r="F20" s="461" t="s">
        <v>6</v>
      </c>
      <c r="G20" s="470">
        <f t="shared" ref="G20:G30" si="3">(B42+C42+D42)/(B$59+C$59+D$59)</f>
        <v>6.9149643581476974E-2</v>
      </c>
      <c r="H20" s="462"/>
      <c r="I20" s="470">
        <f t="shared" ref="I20:I30" si="4">(G42+H42+I42)/(G$59+H$59+I$59)</f>
        <v>7.0236098169226435E-2</v>
      </c>
      <c r="J20" s="186"/>
      <c r="K20" s="470">
        <f t="shared" ref="K20:K30" si="5">(K42+L42+M42)/(K$59+L$59+M$59)</f>
        <v>8.0382363137158491E-2</v>
      </c>
      <c r="L20" s="462"/>
      <c r="M20" s="462"/>
      <c r="N20" s="1014"/>
      <c r="O20" s="1014"/>
      <c r="R20" s="461" t="s">
        <v>6</v>
      </c>
      <c r="S20" s="435">
        <v>4346</v>
      </c>
      <c r="T20" s="435">
        <v>3582</v>
      </c>
      <c r="U20" s="435">
        <v>2750</v>
      </c>
      <c r="V20" s="435">
        <f>'SCH data and adjusts'!B13</f>
        <v>22359</v>
      </c>
      <c r="W20" s="435">
        <f>'SCH data and adjusts'!C13</f>
        <v>22505</v>
      </c>
      <c r="X20" s="1518">
        <f>'SCH data and adjusts'!D13</f>
        <v>26606</v>
      </c>
      <c r="Y20" s="985">
        <f>'SCH data and adjusts'!E13</f>
        <v>32699</v>
      </c>
      <c r="Z20" s="435">
        <f>3*'What If Data'!C26+3*'What If Data'!T26</f>
        <v>0</v>
      </c>
      <c r="AR20" s="10"/>
      <c r="AS20" s="10"/>
      <c r="AT20" s="10"/>
      <c r="AU20" s="10"/>
      <c r="AV20" s="10"/>
      <c r="AW20" s="10"/>
      <c r="AX20" s="10"/>
      <c r="AY20" s="10"/>
    </row>
    <row r="21" spans="1:51">
      <c r="A21" s="461" t="s">
        <v>8</v>
      </c>
      <c r="B21" s="435">
        <f t="shared" si="0"/>
        <v>1073368.4506608627</v>
      </c>
      <c r="C21" s="435">
        <f t="shared" si="1"/>
        <v>1201455.0996813651</v>
      </c>
      <c r="D21" s="435">
        <f t="shared" si="2"/>
        <v>1262503.0169593925</v>
      </c>
      <c r="E21" s="782"/>
      <c r="F21" s="461" t="s">
        <v>8</v>
      </c>
      <c r="G21" s="470">
        <f t="shared" si="3"/>
        <v>1.5324812425988352E-2</v>
      </c>
      <c r="H21" s="462"/>
      <c r="I21" s="470">
        <f t="shared" si="4"/>
        <v>1.7153545019445948E-2</v>
      </c>
      <c r="J21" s="186"/>
      <c r="K21" s="470">
        <f t="shared" si="5"/>
        <v>1.8025144963255565E-2</v>
      </c>
      <c r="L21" s="462"/>
      <c r="M21" s="462"/>
      <c r="N21" s="1014"/>
      <c r="O21" s="1014"/>
      <c r="R21" s="461" t="s">
        <v>8</v>
      </c>
      <c r="S21" s="435">
        <v>42</v>
      </c>
      <c r="T21" s="435">
        <v>9</v>
      </c>
      <c r="U21" s="435">
        <v>21</v>
      </c>
      <c r="V21" s="435">
        <f>'SCH data and adjusts'!B14</f>
        <v>54</v>
      </c>
      <c r="W21" s="435">
        <f>'SCH data and adjusts'!C14</f>
        <v>36</v>
      </c>
      <c r="X21" s="1518">
        <f>'SCH data and adjusts'!D14</f>
        <v>24</v>
      </c>
      <c r="Y21" s="985">
        <f>'SCH data and adjusts'!E14</f>
        <v>63</v>
      </c>
      <c r="Z21" s="435">
        <f>3*'What If Data'!C27+3*'What If Data'!T27</f>
        <v>0</v>
      </c>
    </row>
    <row r="22" spans="1:51">
      <c r="A22" s="463" t="s">
        <v>2</v>
      </c>
      <c r="B22" s="443">
        <f t="shared" si="0"/>
        <v>970254.72897810594</v>
      </c>
      <c r="C22" s="443">
        <f t="shared" si="1"/>
        <v>993823.16533862613</v>
      </c>
      <c r="D22" s="443">
        <f t="shared" si="2"/>
        <v>923716.85949695215</v>
      </c>
      <c r="E22" s="782"/>
      <c r="F22" s="463" t="s">
        <v>2</v>
      </c>
      <c r="G22" s="472">
        <f t="shared" si="3"/>
        <v>1.3852626018458949E-2</v>
      </c>
      <c r="H22" s="464"/>
      <c r="I22" s="472">
        <f t="shared" si="4"/>
        <v>1.4189119853522239E-2</v>
      </c>
      <c r="J22" s="186"/>
      <c r="K22" s="472">
        <f t="shared" si="5"/>
        <v>1.3188190502337055E-2</v>
      </c>
      <c r="L22" s="464"/>
      <c r="M22" s="464"/>
      <c r="N22" s="1014"/>
      <c r="O22" s="1014"/>
      <c r="R22" s="463" t="s">
        <v>2</v>
      </c>
      <c r="S22" s="443">
        <v>2182</v>
      </c>
      <c r="T22" s="443">
        <v>1976</v>
      </c>
      <c r="U22" s="443">
        <v>1439</v>
      </c>
      <c r="V22" s="443">
        <f>'SCH data and adjusts'!B15</f>
        <v>2812</v>
      </c>
      <c r="W22" s="443">
        <f>'SCH data and adjusts'!C15</f>
        <v>2594</v>
      </c>
      <c r="X22" s="1521">
        <f>'SCH data and adjusts'!D15</f>
        <v>2431</v>
      </c>
      <c r="Y22" s="987">
        <f>'SCH data and adjusts'!E15</f>
        <v>2466</v>
      </c>
      <c r="Z22" s="435">
        <f>3*'What If Data'!C28+3*'What If Data'!T28</f>
        <v>0</v>
      </c>
    </row>
    <row r="23" spans="1:51" s="10" customFormat="1" ht="15.95" customHeight="1">
      <c r="A23" s="461" t="s">
        <v>10</v>
      </c>
      <c r="B23" s="435">
        <f t="shared" si="0"/>
        <v>141930.69942125102</v>
      </c>
      <c r="C23" s="435">
        <f t="shared" si="1"/>
        <v>143586.38897575624</v>
      </c>
      <c r="D23" s="435">
        <f t="shared" si="2"/>
        <v>139588.50458237567</v>
      </c>
      <c r="E23" s="782"/>
      <c r="F23" s="461" t="s">
        <v>10</v>
      </c>
      <c r="G23" s="470">
        <f t="shared" si="3"/>
        <v>2.0263883709092071E-3</v>
      </c>
      <c r="H23" s="465"/>
      <c r="I23" s="470">
        <f t="shared" si="4"/>
        <v>2.0500271613383826E-3</v>
      </c>
      <c r="J23" s="186"/>
      <c r="K23" s="470">
        <f t="shared" si="5"/>
        <v>1.9929481327982551E-3</v>
      </c>
      <c r="L23" s="462"/>
      <c r="M23" s="462"/>
      <c r="N23" s="1014"/>
      <c r="O23" s="1014"/>
      <c r="P23"/>
      <c r="Q23"/>
      <c r="R23" s="461" t="s">
        <v>10</v>
      </c>
      <c r="S23" s="434">
        <v>0</v>
      </c>
      <c r="T23" s="434">
        <v>2</v>
      </c>
      <c r="U23" s="434">
        <v>0</v>
      </c>
      <c r="V23" s="435">
        <f>'SCH data and adjusts'!B16</f>
        <v>2</v>
      </c>
      <c r="W23" s="435">
        <f>'SCH data and adjusts'!C16</f>
        <v>0</v>
      </c>
      <c r="X23" s="1518">
        <f>'SCH data and adjusts'!D16</f>
        <v>0</v>
      </c>
      <c r="Y23" s="985">
        <f>'SCH data and adjusts'!E16</f>
        <v>0</v>
      </c>
      <c r="Z23" s="435">
        <f>3*'What If Data'!C29+3*'What If Data'!T29</f>
        <v>0</v>
      </c>
      <c r="AA23"/>
      <c r="AB23"/>
      <c r="AC23"/>
      <c r="AD23"/>
      <c r="AE23"/>
      <c r="AF23"/>
      <c r="AG23"/>
      <c r="AH23"/>
      <c r="AI23"/>
      <c r="AJ23"/>
      <c r="AK23"/>
      <c r="AL23"/>
      <c r="AM23"/>
      <c r="AN23"/>
      <c r="AO23"/>
      <c r="AP23"/>
      <c r="AQ23"/>
      <c r="AR23"/>
      <c r="AS23"/>
      <c r="AT23"/>
      <c r="AU23"/>
      <c r="AV23"/>
      <c r="AW23"/>
      <c r="AX23"/>
      <c r="AY23"/>
    </row>
    <row r="24" spans="1:51">
      <c r="A24" s="461" t="s">
        <v>4</v>
      </c>
      <c r="B24" s="435">
        <f t="shared" si="0"/>
        <v>22376822.871425007</v>
      </c>
      <c r="C24" s="435">
        <f t="shared" si="1"/>
        <v>22793234.465381783</v>
      </c>
      <c r="D24" s="435">
        <f t="shared" si="2"/>
        <v>22777392.585890431</v>
      </c>
      <c r="E24" s="782"/>
      <c r="F24" s="461" t="s">
        <v>4</v>
      </c>
      <c r="G24" s="470">
        <f t="shared" si="3"/>
        <v>0.31948080175360227</v>
      </c>
      <c r="H24" s="462"/>
      <c r="I24" s="470">
        <f t="shared" si="4"/>
        <v>0.32542603851313756</v>
      </c>
      <c r="J24" s="186"/>
      <c r="K24" s="470">
        <f t="shared" si="5"/>
        <v>0.3251998591135748</v>
      </c>
      <c r="L24" s="462"/>
      <c r="M24" s="462"/>
      <c r="N24" s="1014"/>
      <c r="O24" s="1014"/>
      <c r="R24" s="461" t="s">
        <v>4</v>
      </c>
      <c r="S24" s="435">
        <v>32887</v>
      </c>
      <c r="T24" s="435">
        <v>32914</v>
      </c>
      <c r="U24" s="435">
        <v>32718</v>
      </c>
      <c r="V24" s="435">
        <f>'SCH data and adjusts'!B17</f>
        <v>32913</v>
      </c>
      <c r="W24" s="435">
        <f>'SCH data and adjusts'!C17</f>
        <v>32727</v>
      </c>
      <c r="X24" s="1518">
        <f>'SCH data and adjusts'!D17</f>
        <v>34005</v>
      </c>
      <c r="Y24" s="985">
        <f>'SCH data and adjusts'!E17</f>
        <v>34197</v>
      </c>
      <c r="Z24" s="435">
        <f>3*'What If Data'!C30+3*'What If Data'!T30</f>
        <v>0</v>
      </c>
    </row>
    <row r="25" spans="1:51">
      <c r="A25" s="461" t="s">
        <v>14</v>
      </c>
      <c r="B25" s="435">
        <f t="shared" si="0"/>
        <v>310399.55991750612</v>
      </c>
      <c r="C25" s="435">
        <f t="shared" si="1"/>
        <v>329498.83051636734</v>
      </c>
      <c r="D25" s="435">
        <f t="shared" si="2"/>
        <v>328914.42536333157</v>
      </c>
      <c r="E25" s="782"/>
      <c r="F25" s="461" t="s">
        <v>14</v>
      </c>
      <c r="G25" s="470">
        <f t="shared" si="3"/>
        <v>4.4316702525739301E-3</v>
      </c>
      <c r="H25" s="465"/>
      <c r="I25" s="470">
        <f t="shared" si="4"/>
        <v>4.7043564296462429E-3</v>
      </c>
      <c r="J25" s="186"/>
      <c r="K25" s="470">
        <f t="shared" si="5"/>
        <v>4.6960126970299731E-3</v>
      </c>
      <c r="L25" s="462"/>
      <c r="M25" s="462"/>
      <c r="N25" s="1014"/>
      <c r="O25" s="1014"/>
      <c r="R25" s="461" t="s">
        <v>14</v>
      </c>
      <c r="S25" s="434">
        <v>0</v>
      </c>
      <c r="T25" s="434">
        <v>0</v>
      </c>
      <c r="U25" s="434">
        <v>0</v>
      </c>
      <c r="V25" s="434">
        <f>'SCH data and adjusts'!B18</f>
        <v>0</v>
      </c>
      <c r="W25" s="434">
        <f>'SCH data and adjusts'!C18</f>
        <v>0</v>
      </c>
      <c r="X25" s="1519">
        <f>'SCH data and adjusts'!D18</f>
        <v>0</v>
      </c>
      <c r="Y25" s="985">
        <f>'SCH data and adjusts'!E18</f>
        <v>0</v>
      </c>
      <c r="Z25" s="435">
        <f>3*'What If Data'!C31+3*'What If Data'!T31</f>
        <v>0</v>
      </c>
    </row>
    <row r="26" spans="1:51">
      <c r="A26" s="463" t="s">
        <v>17</v>
      </c>
      <c r="B26" s="443">
        <f t="shared" si="0"/>
        <v>19931412.64769778</v>
      </c>
      <c r="C26" s="443">
        <f t="shared" si="1"/>
        <v>19894688.131562185</v>
      </c>
      <c r="D26" s="443">
        <f t="shared" si="2"/>
        <v>19296062.457831774</v>
      </c>
      <c r="E26" s="782"/>
      <c r="F26" s="463" t="s">
        <v>17</v>
      </c>
      <c r="G26" s="472">
        <f t="shared" si="3"/>
        <v>0.2845669257586998</v>
      </c>
      <c r="H26" s="464"/>
      <c r="I26" s="472">
        <f t="shared" si="4"/>
        <v>0.28404259851499641</v>
      </c>
      <c r="J26" s="186"/>
      <c r="K26" s="472">
        <f t="shared" si="5"/>
        <v>0.27549583513877529</v>
      </c>
      <c r="L26" s="464"/>
      <c r="M26" s="464"/>
      <c r="N26" s="1014"/>
      <c r="O26" s="1014"/>
      <c r="R26" s="463" t="s">
        <v>17</v>
      </c>
      <c r="S26" s="443">
        <v>31539</v>
      </c>
      <c r="T26" s="443">
        <v>30684</v>
      </c>
      <c r="U26" s="443">
        <v>30994</v>
      </c>
      <c r="V26" s="443">
        <f>'SCH data and adjusts'!B19</f>
        <v>29782</v>
      </c>
      <c r="W26" s="443">
        <f>'SCH data and adjusts'!C19</f>
        <v>33148</v>
      </c>
      <c r="X26" s="1521">
        <f>'SCH data and adjusts'!D19</f>
        <v>31249</v>
      </c>
      <c r="Y26" s="987">
        <f>'SCH data and adjusts'!E19</f>
        <v>27918</v>
      </c>
      <c r="Z26" s="435">
        <f>3*'What If Data'!C32+3*'What If Data'!T32</f>
        <v>0</v>
      </c>
    </row>
    <row r="27" spans="1:51">
      <c r="A27" s="461" t="s">
        <v>316</v>
      </c>
      <c r="B27" s="435">
        <f t="shared" si="0"/>
        <v>217559.60699769226</v>
      </c>
      <c r="C27" s="435">
        <f t="shared" si="1"/>
        <v>299688.72239901987</v>
      </c>
      <c r="D27" s="435">
        <f t="shared" si="2"/>
        <v>335344.80534692365</v>
      </c>
      <c r="E27" s="782"/>
      <c r="F27" s="461" t="s">
        <v>316</v>
      </c>
      <c r="G27" s="470">
        <f t="shared" si="3"/>
        <v>3.1061656103816239E-3</v>
      </c>
      <c r="H27" s="465"/>
      <c r="I27" s="470">
        <f t="shared" si="4"/>
        <v>4.2787483218101E-3</v>
      </c>
      <c r="J27" s="186"/>
      <c r="K27" s="470">
        <f t="shared" si="5"/>
        <v>4.7878212153590763E-3</v>
      </c>
      <c r="L27" s="462"/>
      <c r="M27" s="462"/>
      <c r="N27" s="1014"/>
      <c r="O27" s="1014"/>
      <c r="R27" s="461" t="s">
        <v>316</v>
      </c>
      <c r="S27" s="434">
        <v>0</v>
      </c>
      <c r="T27" s="434">
        <v>0</v>
      </c>
      <c r="U27" s="434">
        <v>0</v>
      </c>
      <c r="V27" s="434">
        <f>'SCH data and adjusts'!B20</f>
        <v>0</v>
      </c>
      <c r="W27" s="434">
        <f>'SCH data and adjusts'!C20</f>
        <v>0</v>
      </c>
      <c r="X27" s="1519">
        <f>'SCH data and adjusts'!D20</f>
        <v>0</v>
      </c>
      <c r="Y27" s="985">
        <f>'SCH data and adjusts'!E20</f>
        <v>0</v>
      </c>
      <c r="Z27" s="435">
        <f>3*'What If Data'!C33+3*'What If Data'!T33</f>
        <v>0</v>
      </c>
    </row>
    <row r="28" spans="1:51">
      <c r="A28" s="461" t="s">
        <v>7</v>
      </c>
      <c r="B28" s="435">
        <f t="shared" si="0"/>
        <v>5491857.9006519271</v>
      </c>
      <c r="C28" s="435">
        <f t="shared" si="1"/>
        <v>5804457.2908032183</v>
      </c>
      <c r="D28" s="435">
        <f t="shared" si="2"/>
        <v>5998522.0912635354</v>
      </c>
      <c r="E28" s="782"/>
      <c r="F28" s="461" t="s">
        <v>7</v>
      </c>
      <c r="G28" s="470">
        <f t="shared" si="3"/>
        <v>7.8408949085335425E-2</v>
      </c>
      <c r="H28" s="462"/>
      <c r="I28" s="470">
        <f t="shared" si="4"/>
        <v>8.2872026992644329E-2</v>
      </c>
      <c r="J28" s="186"/>
      <c r="K28" s="470">
        <f t="shared" si="5"/>
        <v>8.5642750003657134E-2</v>
      </c>
      <c r="L28" s="462"/>
      <c r="M28" s="462"/>
      <c r="N28" s="1014"/>
      <c r="O28" s="1014"/>
      <c r="R28" s="461" t="s">
        <v>7</v>
      </c>
      <c r="S28" s="435">
        <v>2732</v>
      </c>
      <c r="T28" s="435">
        <v>2093</v>
      </c>
      <c r="U28" s="435">
        <v>2409</v>
      </c>
      <c r="V28" s="435">
        <f>'SCH data and adjusts'!B21</f>
        <v>33431</v>
      </c>
      <c r="W28" s="435">
        <f>'SCH data and adjusts'!C21</f>
        <v>33875</v>
      </c>
      <c r="X28" s="1518">
        <f>'SCH data and adjusts'!D21</f>
        <v>33130</v>
      </c>
      <c r="Y28" s="985">
        <f>'SCH data and adjusts'!E21</f>
        <v>33204</v>
      </c>
      <c r="Z28" s="435">
        <f>3*'What If Data'!C34+3*'What If Data'!T34</f>
        <v>0</v>
      </c>
    </row>
    <row r="29" spans="1:51">
      <c r="A29" s="461" t="s">
        <v>9</v>
      </c>
      <c r="B29" s="435">
        <f t="shared" si="0"/>
        <v>6208246.330537118</v>
      </c>
      <c r="C29" s="435">
        <f t="shared" si="1"/>
        <v>5243714.7101088185</v>
      </c>
      <c r="D29" s="435">
        <f t="shared" si="2"/>
        <v>4940074.9793601893</v>
      </c>
      <c r="E29" s="782"/>
      <c r="F29" s="461" t="s">
        <v>9</v>
      </c>
      <c r="G29" s="470">
        <f>(B51+C51+D51+B53)/(B$59+C$59+D$59)</f>
        <v>8.8637047652402018E-2</v>
      </c>
      <c r="H29" s="462"/>
      <c r="I29" s="470">
        <f>(G51+H51+I51+G53)/(G$59+H$59+I$59)</f>
        <v>7.4866132219870346E-2</v>
      </c>
      <c r="J29" s="186"/>
      <c r="K29" s="470">
        <f>(K51+L51+M51+K53)/(K$59+L$59+M$59)</f>
        <v>7.0530974133254876E-2</v>
      </c>
      <c r="L29" s="462"/>
      <c r="M29" s="462"/>
      <c r="N29" s="1014"/>
      <c r="O29" s="1014"/>
      <c r="R29" s="461" t="s">
        <v>9</v>
      </c>
      <c r="S29" s="435">
        <v>11867</v>
      </c>
      <c r="T29" s="435">
        <v>13315</v>
      </c>
      <c r="U29" s="435">
        <v>13288</v>
      </c>
      <c r="V29" s="435">
        <f>'SCH data and adjusts'!B22</f>
        <v>10818</v>
      </c>
      <c r="W29" s="435">
        <f>'SCH data and adjusts'!C22</f>
        <v>9299</v>
      </c>
      <c r="X29" s="1518">
        <f>'SCH data and adjusts'!D22</f>
        <v>8090</v>
      </c>
      <c r="Y29" s="985">
        <f>'SCH data and adjusts'!E22</f>
        <v>6751</v>
      </c>
      <c r="Z29" s="435">
        <f>3*'What If Data'!C35+3*'What If Data'!T35</f>
        <v>0</v>
      </c>
    </row>
    <row r="30" spans="1:51">
      <c r="A30" s="463" t="s">
        <v>5</v>
      </c>
      <c r="B30" s="443">
        <f t="shared" si="0"/>
        <v>2579535.6331687574</v>
      </c>
      <c r="C30" s="443">
        <f t="shared" si="1"/>
        <v>2526442.3070293744</v>
      </c>
      <c r="D30" s="443">
        <f t="shared" si="2"/>
        <v>2356777.1632911605</v>
      </c>
      <c r="E30" s="782"/>
      <c r="F30" s="463" t="s">
        <v>5</v>
      </c>
      <c r="G30" s="472">
        <f t="shared" si="3"/>
        <v>3.6828825833408373E-2</v>
      </c>
      <c r="H30" s="464"/>
      <c r="I30" s="472">
        <f t="shared" si="4"/>
        <v>3.6070796040696546E-2</v>
      </c>
      <c r="J30" s="186"/>
      <c r="K30" s="472">
        <f t="shared" si="5"/>
        <v>3.3648434454220222E-2</v>
      </c>
      <c r="L30" s="464"/>
      <c r="M30" s="464"/>
      <c r="N30" s="1014"/>
      <c r="O30" s="1014"/>
      <c r="R30" s="463" t="s">
        <v>5</v>
      </c>
      <c r="S30" s="443">
        <v>1030</v>
      </c>
      <c r="T30" s="443">
        <v>830</v>
      </c>
      <c r="U30" s="443">
        <v>1032</v>
      </c>
      <c r="V30" s="443">
        <f>'SCH data and adjusts'!B23</f>
        <v>1194</v>
      </c>
      <c r="W30" s="443">
        <f>'SCH data and adjusts'!C23</f>
        <v>1568</v>
      </c>
      <c r="X30" s="1521">
        <f>'SCH data and adjusts'!D23</f>
        <v>1535</v>
      </c>
      <c r="Y30" s="987">
        <f>'SCH data and adjusts'!E23</f>
        <v>2148</v>
      </c>
      <c r="Z30" s="435">
        <f>3*'What If Data'!C36+3*'What If Data'!T36</f>
        <v>0</v>
      </c>
    </row>
    <row r="31" spans="1:51">
      <c r="A31" s="461"/>
      <c r="B31" s="452"/>
      <c r="C31" s="452"/>
      <c r="D31" s="452"/>
      <c r="F31" s="461"/>
      <c r="G31" s="465"/>
      <c r="H31" s="465"/>
      <c r="I31" s="462"/>
      <c r="J31" s="186"/>
      <c r="K31" s="462"/>
      <c r="L31" s="462"/>
      <c r="M31" s="462"/>
      <c r="N31" s="462"/>
      <c r="O31" s="462"/>
      <c r="R31" s="441"/>
      <c r="S31" s="434"/>
      <c r="T31" s="434"/>
      <c r="U31" s="434"/>
      <c r="V31" s="434"/>
      <c r="W31" s="434"/>
      <c r="X31" s="1519"/>
      <c r="Y31" s="986"/>
      <c r="Z31" s="434"/>
    </row>
    <row r="32" spans="1:51">
      <c r="A32" s="461" t="s">
        <v>516</v>
      </c>
      <c r="B32" s="435">
        <f>G32*D$11</f>
        <v>285074.27067262831</v>
      </c>
      <c r="C32" s="435">
        <f>I32*D$11</f>
        <v>316939.54868938075</v>
      </c>
      <c r="D32" s="435">
        <f>K32*D$11</f>
        <v>341125.11034095247</v>
      </c>
      <c r="E32" s="782"/>
      <c r="F32" s="461" t="s">
        <v>516</v>
      </c>
      <c r="G32" s="470">
        <f>(B54+C54+D54)/(B$59+C$59+D$59)</f>
        <v>4.0700932870196514E-3</v>
      </c>
      <c r="H32" s="465"/>
      <c r="I32" s="470">
        <f>(G54+H54+I54)/(G$59+H$59+I$59)</f>
        <v>4.5250436893796622E-3</v>
      </c>
      <c r="J32" s="186"/>
      <c r="K32" s="470">
        <f>(K54+L54+M54)/(K$59+L$59+M$59)</f>
        <v>4.8703484125614503E-3</v>
      </c>
      <c r="L32" s="462"/>
      <c r="M32" s="462"/>
      <c r="N32" s="1014"/>
      <c r="O32" s="1014"/>
      <c r="R32" s="461" t="s">
        <v>516</v>
      </c>
      <c r="S32" s="434">
        <v>0</v>
      </c>
      <c r="T32" s="434">
        <v>0</v>
      </c>
      <c r="U32" s="434">
        <v>0</v>
      </c>
      <c r="V32" s="434">
        <f>'SCH data and adjusts'!B25</f>
        <v>0</v>
      </c>
      <c r="W32" s="434">
        <f>'SCH data and adjusts'!C25</f>
        <v>0</v>
      </c>
      <c r="X32" s="1519">
        <f>'SCH data and adjusts'!D25</f>
        <v>0</v>
      </c>
      <c r="Y32" s="986">
        <f>'SCH data and adjusts'!E25</f>
        <v>0</v>
      </c>
      <c r="Z32" s="434"/>
    </row>
    <row r="33" spans="1:51">
      <c r="A33" s="461" t="s">
        <v>537</v>
      </c>
      <c r="B33" s="435">
        <f>G33*D$11</f>
        <v>33274.722692643045</v>
      </c>
      <c r="C33" s="435">
        <f>I33*D$11</f>
        <v>37560.943810263772</v>
      </c>
      <c r="D33" s="435">
        <f>K33*D$11</f>
        <v>30773.101213613372</v>
      </c>
      <c r="E33" s="782"/>
      <c r="F33" s="461" t="s">
        <v>537</v>
      </c>
      <c r="G33" s="470">
        <f>(B55+C55+D55)/(B$59+C$59+D$59)</f>
        <v>4.7507347870861524E-4</v>
      </c>
      <c r="H33" s="465"/>
      <c r="I33" s="470">
        <f>(G55+H55+I55)/(G$59+H$59+I$59)</f>
        <v>5.3626917959157471E-4</v>
      </c>
      <c r="J33" s="186"/>
      <c r="K33" s="470">
        <f>(K55+L55+M55)/(K$59+L$59+M$59)</f>
        <v>4.3935705728468608E-4</v>
      </c>
      <c r="L33" s="462"/>
      <c r="M33" s="462"/>
      <c r="N33" s="1014"/>
      <c r="O33" s="1014"/>
      <c r="R33" s="461" t="s">
        <v>537</v>
      </c>
      <c r="S33" s="434"/>
      <c r="T33" s="434"/>
      <c r="U33" s="434"/>
      <c r="V33" s="434">
        <f>'SCH data and adjusts'!B26</f>
        <v>0</v>
      </c>
      <c r="W33" s="434">
        <f>'SCH data and adjusts'!C26</f>
        <v>0</v>
      </c>
      <c r="X33" s="1519">
        <f>'SCH data and adjusts'!D26</f>
        <v>0</v>
      </c>
      <c r="Y33" s="986">
        <f>'SCH data and adjusts'!E26</f>
        <v>0</v>
      </c>
      <c r="Z33" s="434"/>
    </row>
    <row r="34" spans="1:51">
      <c r="A34" s="463" t="s">
        <v>518</v>
      </c>
      <c r="B34" s="443">
        <f>G34*D$11</f>
        <v>350172.29817253427</v>
      </c>
      <c r="C34" s="443">
        <f>I34*D$11</f>
        <v>136234.69418964052</v>
      </c>
      <c r="D34" s="443">
        <f>K34*D$11</f>
        <v>144074.68055231907</v>
      </c>
      <c r="E34" s="782"/>
      <c r="F34" s="463" t="s">
        <v>518</v>
      </c>
      <c r="G34" s="472">
        <f>(B56+C56+D56)/(B$59+C$59+D$59)</f>
        <v>4.9995179036307208E-3</v>
      </c>
      <c r="H34" s="466"/>
      <c r="I34" s="472">
        <f>(G56+H56+I56)/(G$59+H$59+I$59)</f>
        <v>1.9450647474152098E-3</v>
      </c>
      <c r="J34" s="186"/>
      <c r="K34" s="472">
        <f>(K56+L56+M56)/(K$59+L$59+M$59)</f>
        <v>2.056998650779318E-3</v>
      </c>
      <c r="L34" s="464"/>
      <c r="M34" s="464"/>
      <c r="N34" s="1014"/>
      <c r="O34" s="1014"/>
      <c r="R34" s="463" t="s">
        <v>518</v>
      </c>
      <c r="S34" s="444"/>
      <c r="T34" s="444"/>
      <c r="U34" s="444"/>
      <c r="V34" s="444">
        <f>'SCH data and adjusts'!B27</f>
        <v>0</v>
      </c>
      <c r="W34" s="444">
        <f>'SCH data and adjusts'!C27</f>
        <v>0</v>
      </c>
      <c r="X34" s="1522">
        <f>'SCH data and adjusts'!D27</f>
        <v>0</v>
      </c>
      <c r="Y34" s="988">
        <f>'SCH data and adjusts'!E27</f>
        <v>0</v>
      </c>
      <c r="Z34" s="435">
        <f>3*'What If Data'!C40+3*'What If Data'!T40</f>
        <v>0</v>
      </c>
    </row>
    <row r="35" spans="1:51">
      <c r="A35" s="461" t="s">
        <v>536</v>
      </c>
      <c r="B35" s="435">
        <f>G35*D$11</f>
        <v>1244655.7275456225</v>
      </c>
      <c r="C35" s="435">
        <f>I35*D$11</f>
        <v>1252169.6665229022</v>
      </c>
      <c r="D35" s="435">
        <f>K35*D$11</f>
        <v>1237667.1418805593</v>
      </c>
      <c r="E35" s="782"/>
      <c r="F35" s="461" t="s">
        <v>536</v>
      </c>
      <c r="G35" s="470">
        <f>(B57+C57+D57)/(B$59+C$59+D$59)</f>
        <v>1.7770333707707708E-2</v>
      </c>
      <c r="H35" s="465"/>
      <c r="I35" s="470">
        <f>(G57+H57+I57)/(G$59+H$59+I$59)</f>
        <v>1.7877612531988631E-2</v>
      </c>
      <c r="J35" s="186"/>
      <c r="K35" s="470">
        <f>(K57+L57+M57)/(K$59+L$59+M$59)</f>
        <v>1.767055551469849E-2</v>
      </c>
      <c r="L35" s="462"/>
      <c r="M35" s="462"/>
      <c r="N35" s="1014"/>
      <c r="O35" s="1014"/>
      <c r="R35" s="461" t="s">
        <v>536</v>
      </c>
      <c r="S35" s="434"/>
      <c r="T35" s="434"/>
      <c r="U35" s="434"/>
      <c r="V35" s="434">
        <f>'SCH data and adjusts'!B28</f>
        <v>0</v>
      </c>
      <c r="W35" s="434">
        <f>'SCH data and adjusts'!C28</f>
        <v>0</v>
      </c>
      <c r="X35" s="1519">
        <f>'SCH data and adjusts'!D28</f>
        <v>0</v>
      </c>
      <c r="Y35" s="986">
        <f>'SCH data and adjusts'!E28</f>
        <v>0</v>
      </c>
      <c r="Z35" s="434"/>
    </row>
    <row r="36" spans="1:51">
      <c r="A36" s="467" t="s">
        <v>520</v>
      </c>
      <c r="B36" s="435">
        <f>G36*D$11</f>
        <v>102308.58496028899</v>
      </c>
      <c r="C36" s="435">
        <f>I36*D$11</f>
        <v>107784.97919031627</v>
      </c>
      <c r="D36" s="435">
        <f>K36*D$11</f>
        <v>135051.33864943034</v>
      </c>
      <c r="E36" s="782"/>
      <c r="F36" s="467" t="s">
        <v>520</v>
      </c>
      <c r="G36" s="470">
        <f>(B58+C58+D58)/(B$59+C$59+D$59)</f>
        <v>1.4606912222167564E-3</v>
      </c>
      <c r="H36" s="465"/>
      <c r="I36" s="470">
        <f>(G58+H58+I58)/(G$59+H$59+I$59)</f>
        <v>1.5388793917071688E-3</v>
      </c>
      <c r="J36" s="186"/>
      <c r="K36" s="470">
        <f>(K58+L58+M58)/(K$59+L$59+M$59)</f>
        <v>1.9281696153887282E-3</v>
      </c>
      <c r="L36" s="462"/>
      <c r="M36" s="462"/>
      <c r="N36" s="1014"/>
      <c r="O36" s="1014"/>
      <c r="R36" s="467" t="s">
        <v>520</v>
      </c>
      <c r="S36" s="434"/>
      <c r="T36" s="434"/>
      <c r="U36" s="434"/>
      <c r="V36" s="434">
        <f>'SCH data and adjusts'!B29</f>
        <v>0</v>
      </c>
      <c r="W36" s="434">
        <f>'SCH data and adjusts'!C29</f>
        <v>0</v>
      </c>
      <c r="X36" s="1519">
        <f>'SCH data and adjusts'!D29</f>
        <v>0</v>
      </c>
      <c r="Y36" s="986">
        <f>'SCH data and adjusts'!E29</f>
        <v>0</v>
      </c>
      <c r="Z36" s="434"/>
    </row>
    <row r="37" spans="1:51">
      <c r="A37" s="468"/>
      <c r="B37" s="447">
        <f>SUM(B19:B36)</f>
        <v>70041212.957400188</v>
      </c>
      <c r="C37" s="447">
        <f>SUM(C19:C36)</f>
        <v>70041212.957400188</v>
      </c>
      <c r="D37" s="447">
        <f>SUM(D19:D36)</f>
        <v>70041212.957400203</v>
      </c>
      <c r="E37" s="1011"/>
      <c r="F37" s="468"/>
      <c r="G37" s="471">
        <f>SUM(G19:G36)</f>
        <v>1.0000000000000002</v>
      </c>
      <c r="H37" s="469"/>
      <c r="I37" s="471">
        <f>SUM(I19:I36)</f>
        <v>0.99999999999999978</v>
      </c>
      <c r="J37" s="186"/>
      <c r="K37" s="471">
        <f>SUM(K19:K36)</f>
        <v>1.0000000000000002</v>
      </c>
      <c r="L37" s="469"/>
      <c r="M37" s="469"/>
      <c r="N37" s="1013"/>
      <c r="O37" s="1013"/>
      <c r="R37" s="446"/>
      <c r="S37" s="447">
        <v>92410</v>
      </c>
      <c r="T37" s="447">
        <v>91170</v>
      </c>
      <c r="U37" s="447">
        <v>90825</v>
      </c>
      <c r="V37" s="447">
        <f>SUM(V19:V36)</f>
        <v>138790</v>
      </c>
      <c r="W37" s="447">
        <f>SUM(W19:W36)</f>
        <v>140576</v>
      </c>
      <c r="X37" s="447">
        <f>SUM(X19:X36)</f>
        <v>142091</v>
      </c>
      <c r="Y37" s="989">
        <f>SUM(Y19:Y36)</f>
        <v>143581</v>
      </c>
      <c r="Z37" s="447"/>
    </row>
    <row r="38" spans="1:51">
      <c r="L38"/>
      <c r="M38"/>
      <c r="N38"/>
      <c r="O38"/>
      <c r="R38" s="434"/>
      <c r="S38" s="434"/>
      <c r="T38" s="434"/>
      <c r="U38" s="434"/>
      <c r="V38" s="434"/>
      <c r="W38" s="435"/>
      <c r="X38" s="435"/>
      <c r="Y38" s="435"/>
      <c r="Z38" s="435"/>
    </row>
    <row r="39" spans="1:51" ht="25.5">
      <c r="A39" s="456" t="s">
        <v>533</v>
      </c>
      <c r="B39" s="456"/>
      <c r="C39" s="456"/>
      <c r="D39" s="456"/>
      <c r="F39" s="456" t="s">
        <v>533</v>
      </c>
      <c r="G39" s="456"/>
      <c r="H39" s="456"/>
      <c r="I39" s="456"/>
      <c r="J39" s="456"/>
      <c r="K39" s="456"/>
      <c r="L39" s="456"/>
      <c r="M39" s="456"/>
      <c r="N39" s="456"/>
      <c r="O39" s="456"/>
      <c r="R39" s="434"/>
      <c r="S39" s="433" t="s">
        <v>507</v>
      </c>
      <c r="T39" s="433" t="s">
        <v>508</v>
      </c>
      <c r="U39" s="433" t="s">
        <v>509</v>
      </c>
      <c r="V39" s="433">
        <v>2016</v>
      </c>
      <c r="W39" s="433">
        <v>2017</v>
      </c>
      <c r="X39" s="433">
        <v>2018</v>
      </c>
      <c r="Y39" s="433" t="s">
        <v>1648</v>
      </c>
      <c r="Z39" s="433" t="s">
        <v>1385</v>
      </c>
    </row>
    <row r="40" spans="1:51" ht="38.25">
      <c r="A40" s="214"/>
      <c r="B40" s="457" t="s">
        <v>981</v>
      </c>
      <c r="C40" s="457" t="s">
        <v>982</v>
      </c>
      <c r="D40" s="457" t="s">
        <v>1658</v>
      </c>
      <c r="F40" s="214"/>
      <c r="G40" s="457" t="s">
        <v>1240</v>
      </c>
      <c r="H40" s="457" t="s">
        <v>1242</v>
      </c>
      <c r="I40" s="457" t="s">
        <v>1241</v>
      </c>
      <c r="J40" s="214"/>
      <c r="K40" s="457" t="s">
        <v>1578</v>
      </c>
      <c r="L40" s="457" t="s">
        <v>1579</v>
      </c>
      <c r="M40" s="457" t="s">
        <v>1580</v>
      </c>
      <c r="N40" s="460" t="s">
        <v>859</v>
      </c>
      <c r="O40" s="460" t="s">
        <v>860</v>
      </c>
      <c r="P40" s="460" t="s">
        <v>861</v>
      </c>
      <c r="R40" s="1414" t="s">
        <v>521</v>
      </c>
      <c r="S40" s="1082"/>
      <c r="T40" s="1082"/>
      <c r="U40" s="1082"/>
      <c r="V40" s="1082"/>
      <c r="W40" s="1082"/>
      <c r="X40" s="1082"/>
      <c r="Y40" s="1082"/>
      <c r="Z40" s="1082"/>
    </row>
    <row r="41" spans="1:51">
      <c r="A41" s="461" t="s">
        <v>513</v>
      </c>
      <c r="B41" s="435">
        <f>IF(K$9="no",B64*N$3,B64*N41)</f>
        <v>35049.78</v>
      </c>
      <c r="C41" s="435">
        <f>IF(K$9="no",C64*N$4,C64*J41)</f>
        <v>24776.153999999999</v>
      </c>
      <c r="D41" s="435">
        <f>IF(K$9="no",D64*N$5,D64*K41)</f>
        <v>6651.0540000000001</v>
      </c>
      <c r="F41" s="461" t="s">
        <v>513</v>
      </c>
      <c r="G41" s="435">
        <f>IF(K$9="no",G64*N$3,G64*N41)</f>
        <v>36053.699999999997</v>
      </c>
      <c r="H41" s="435">
        <f>IF(K$9="no",H64*N$4,H64*O41)</f>
        <v>24790.391999999996</v>
      </c>
      <c r="I41" s="435">
        <f>IF(K$9="no",I64*N$5,I64*P41)</f>
        <v>5724.9059999999999</v>
      </c>
      <c r="K41" s="435">
        <f>IF(K$9="no",K64*N$3,K64*N41)</f>
        <v>36725.564999999995</v>
      </c>
      <c r="L41" s="435">
        <f t="shared" ref="L41:L47" si="6">IF(K$9="no",L64*N$4,L64*O41)</f>
        <v>24581.906999999999</v>
      </c>
      <c r="M41" s="435">
        <f t="shared" ref="M41:M47" si="7">IF(K$9="no",M64*N$5,M64*P41)</f>
        <v>5077.4219999999996</v>
      </c>
      <c r="N41" s="1014"/>
      <c r="O41" s="1014"/>
      <c r="P41" s="1015"/>
      <c r="R41" s="461" t="s">
        <v>513</v>
      </c>
      <c r="S41" s="435">
        <v>10538</v>
      </c>
      <c r="T41" s="435">
        <v>10585</v>
      </c>
      <c r="U41" s="435">
        <v>10396</v>
      </c>
      <c r="V41" s="435">
        <f>'SCH data and adjusts'!B34</f>
        <v>10432</v>
      </c>
      <c r="W41" s="435">
        <f>'SCH data and adjusts'!C34</f>
        <v>12465</v>
      </c>
      <c r="X41" s="1518">
        <f>'SCH data and adjusts'!D34</f>
        <v>12973</v>
      </c>
      <c r="Y41" s="985">
        <f>'SCH data and adjusts'!E34</f>
        <v>12675</v>
      </c>
      <c r="Z41" s="435">
        <f>3*'What If Data'!B25</f>
        <v>0</v>
      </c>
    </row>
    <row r="42" spans="1:51">
      <c r="A42" s="461" t="s">
        <v>6</v>
      </c>
      <c r="B42" s="435">
        <f t="shared" ref="B42:B52" si="8">IF(K$9="no",B65*N$3,B65*N42)</f>
        <v>56949.195</v>
      </c>
      <c r="C42" s="435">
        <f t="shared" ref="C42:C52" si="9">IF(K$9="no",C65*N$4,C65*J42)</f>
        <v>21538.025999999998</v>
      </c>
      <c r="D42" s="435">
        <f t="shared" ref="D42:D52" si="10">IF(K$9="no",D65*N$5,D65*K42)</f>
        <v>4472.9669999999996</v>
      </c>
      <c r="F42" s="461" t="s">
        <v>6</v>
      </c>
      <c r="G42" s="435">
        <f t="shared" ref="G42:G58" si="11">IF(K$9="no",G65*N$3,G65*N42)</f>
        <v>61853.88</v>
      </c>
      <c r="H42" s="435">
        <f t="shared" ref="H42:H58" si="12">IF(K$9="no",H65*N$4,H65*O42)</f>
        <v>16609.644</v>
      </c>
      <c r="I42" s="435">
        <f t="shared" ref="I42:I58" si="13">IF(K$9="no",I65*N$5,I65*P42)</f>
        <v>2585.8379999999997</v>
      </c>
      <c r="K42" s="435">
        <f t="shared" ref="K42:K47" si="14">IF(K$9="no",K65*N$3,K65*N42)</f>
        <v>68248.934999999998</v>
      </c>
      <c r="L42" s="435">
        <f>IF(K$9="no",L65*N$4,L65*O42)</f>
        <v>18310.067999999999</v>
      </c>
      <c r="M42" s="435">
        <f t="shared" si="7"/>
        <v>3208.7339999999999</v>
      </c>
      <c r="N42" s="1014"/>
      <c r="O42" s="1014"/>
      <c r="P42" s="1015"/>
      <c r="R42" s="461" t="s">
        <v>6</v>
      </c>
      <c r="S42" s="435">
        <v>20261</v>
      </c>
      <c r="T42" s="435">
        <v>23735</v>
      </c>
      <c r="U42" s="435">
        <v>23243</v>
      </c>
      <c r="V42" s="435">
        <f>'SCH data and adjusts'!B35</f>
        <v>5145</v>
      </c>
      <c r="W42" s="435">
        <f>'SCH data and adjusts'!C35</f>
        <v>4777</v>
      </c>
      <c r="X42" s="1518">
        <f>'SCH data and adjusts'!D35</f>
        <v>6344</v>
      </c>
      <c r="Y42" s="985">
        <f>'SCH data and adjusts'!E35</f>
        <v>3876</v>
      </c>
      <c r="Z42" s="435">
        <f>3*'What If Data'!B26</f>
        <v>0</v>
      </c>
    </row>
    <row r="43" spans="1:51">
      <c r="A43" s="461" t="s">
        <v>8</v>
      </c>
      <c r="B43" s="435">
        <f t="shared" si="8"/>
        <v>6593.16</v>
      </c>
      <c r="C43" s="435">
        <f t="shared" si="9"/>
        <v>9958.4639999999999</v>
      </c>
      <c r="D43" s="435">
        <f t="shared" si="10"/>
        <v>1833.855</v>
      </c>
      <c r="F43" s="461" t="s">
        <v>8</v>
      </c>
      <c r="G43" s="435">
        <f t="shared" si="11"/>
        <v>6432.42</v>
      </c>
      <c r="H43" s="435">
        <f t="shared" si="12"/>
        <v>11464.641</v>
      </c>
      <c r="I43" s="435">
        <f t="shared" si="13"/>
        <v>1897.374</v>
      </c>
      <c r="K43" s="435">
        <f t="shared" si="14"/>
        <v>6317.5049999999992</v>
      </c>
      <c r="L43" s="435">
        <f t="shared" si="6"/>
        <v>12234.509999999998</v>
      </c>
      <c r="M43" s="435">
        <f t="shared" si="7"/>
        <v>1577.73</v>
      </c>
      <c r="N43" s="1014"/>
      <c r="O43" s="1014"/>
      <c r="P43" s="1015"/>
      <c r="R43" s="461" t="s">
        <v>8</v>
      </c>
      <c r="S43" s="435">
        <v>3140</v>
      </c>
      <c r="T43" s="435">
        <v>3283</v>
      </c>
      <c r="U43" s="435">
        <v>3213</v>
      </c>
      <c r="V43" s="435">
        <f>'SCH data and adjusts'!B36</f>
        <v>2878</v>
      </c>
      <c r="W43" s="435">
        <f>'SCH data and adjusts'!C36</f>
        <v>3150</v>
      </c>
      <c r="X43" s="1518">
        <f>'SCH data and adjusts'!D36</f>
        <v>2982</v>
      </c>
      <c r="Y43" s="985">
        <f>'SCH data and adjusts'!E36</f>
        <v>2706</v>
      </c>
      <c r="Z43" s="435">
        <f>3*'What If Data'!B27</f>
        <v>0</v>
      </c>
    </row>
    <row r="44" spans="1:51">
      <c r="A44" s="463" t="s">
        <v>2</v>
      </c>
      <c r="B44" s="435">
        <f t="shared" si="8"/>
        <v>8644.0049999999992</v>
      </c>
      <c r="C44" s="435">
        <f t="shared" si="9"/>
        <v>3397.7969999999996</v>
      </c>
      <c r="D44" s="435">
        <f t="shared" si="10"/>
        <v>4577.4659999999994</v>
      </c>
      <c r="F44" s="463" t="s">
        <v>2</v>
      </c>
      <c r="G44" s="443">
        <f t="shared" si="11"/>
        <v>8508.6449999999986</v>
      </c>
      <c r="H44" s="443">
        <f t="shared" si="12"/>
        <v>3488.3099999999995</v>
      </c>
      <c r="I44" s="443">
        <f t="shared" si="13"/>
        <v>4376.6639999999998</v>
      </c>
      <c r="K44" s="435">
        <f t="shared" si="14"/>
        <v>7570.29</v>
      </c>
      <c r="L44" s="435">
        <f t="shared" si="6"/>
        <v>3393.7289999999998</v>
      </c>
      <c r="M44" s="435">
        <f t="shared" si="7"/>
        <v>3764.0129999999999</v>
      </c>
      <c r="N44" s="1014"/>
      <c r="O44" s="1014"/>
      <c r="P44" s="1015"/>
      <c r="R44" s="463" t="s">
        <v>2</v>
      </c>
      <c r="S44" s="443">
        <v>324</v>
      </c>
      <c r="T44" s="443">
        <v>1330</v>
      </c>
      <c r="U44" s="443">
        <v>2228</v>
      </c>
      <c r="V44" s="443">
        <f>'SCH data and adjusts'!B37</f>
        <v>1806</v>
      </c>
      <c r="W44" s="443">
        <f>'SCH data and adjusts'!C37</f>
        <v>1382</v>
      </c>
      <c r="X44" s="1521">
        <f>'SCH data and adjusts'!D37</f>
        <v>1044</v>
      </c>
      <c r="Y44" s="987">
        <f>'SCH data and adjusts'!E37</f>
        <v>821</v>
      </c>
      <c r="Z44" s="435">
        <f>3*'What If Data'!B28</f>
        <v>0</v>
      </c>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c r="A45" s="461" t="s">
        <v>10</v>
      </c>
      <c r="B45" s="435">
        <f t="shared" si="8"/>
        <v>1639.125</v>
      </c>
      <c r="C45" s="435">
        <f t="shared" si="9"/>
        <v>134.244</v>
      </c>
      <c r="D45" s="435">
        <f t="shared" si="10"/>
        <v>657.72899999999993</v>
      </c>
      <c r="F45" s="461" t="s">
        <v>10</v>
      </c>
      <c r="G45" s="434">
        <f t="shared" si="11"/>
        <v>1564.395</v>
      </c>
      <c r="H45" s="434">
        <f t="shared" si="12"/>
        <v>127.12499999999999</v>
      </c>
      <c r="I45" s="434">
        <f t="shared" si="13"/>
        <v>674.12099999999998</v>
      </c>
      <c r="K45" s="435">
        <f t="shared" si="14"/>
        <v>1546.0649999999998</v>
      </c>
      <c r="L45" s="435">
        <f t="shared" si="6"/>
        <v>93.563999999999993</v>
      </c>
      <c r="M45" s="435">
        <f t="shared" si="7"/>
        <v>586.01400000000001</v>
      </c>
      <c r="N45" s="1014"/>
      <c r="O45" s="1021"/>
      <c r="P45" s="1022"/>
      <c r="R45" s="461" t="s">
        <v>10</v>
      </c>
      <c r="S45" s="434">
        <v>836</v>
      </c>
      <c r="T45" s="434">
        <v>853</v>
      </c>
      <c r="U45" s="434">
        <v>837</v>
      </c>
      <c r="V45" s="435">
        <f>'SCH data and adjusts'!B38</f>
        <v>758</v>
      </c>
      <c r="W45" s="435">
        <f>'SCH data and adjusts'!C38</f>
        <v>728</v>
      </c>
      <c r="X45" s="1518">
        <f>'SCH data and adjusts'!D38</f>
        <v>731</v>
      </c>
      <c r="Y45" s="985">
        <f>'SCH data and adjusts'!E38</f>
        <v>734</v>
      </c>
      <c r="Z45" s="435">
        <f>3*'What If Data'!B29</f>
        <v>0</v>
      </c>
    </row>
    <row r="46" spans="1:51">
      <c r="A46" s="461" t="s">
        <v>4</v>
      </c>
      <c r="B46" s="435">
        <f t="shared" si="8"/>
        <v>293863.74</v>
      </c>
      <c r="C46" s="435">
        <f t="shared" si="9"/>
        <v>69019.721999999994</v>
      </c>
      <c r="D46" s="435">
        <f t="shared" si="10"/>
        <v>20403.941999999999</v>
      </c>
      <c r="F46" s="461" t="s">
        <v>4</v>
      </c>
      <c r="G46" s="435">
        <f t="shared" si="11"/>
        <v>285228.89999999997</v>
      </c>
      <c r="H46" s="435">
        <f t="shared" si="12"/>
        <v>69738.740999999995</v>
      </c>
      <c r="I46" s="435">
        <f t="shared" si="13"/>
        <v>20559.666000000001</v>
      </c>
      <c r="K46" s="435">
        <f t="shared" si="14"/>
        <v>275422.34999999998</v>
      </c>
      <c r="L46" s="435">
        <f t="shared" si="6"/>
        <v>67355.909999999989</v>
      </c>
      <c r="M46" s="435">
        <f t="shared" si="7"/>
        <v>20391.648000000001</v>
      </c>
      <c r="N46" s="1014"/>
      <c r="O46" s="1014"/>
      <c r="P46" s="1015"/>
      <c r="R46" s="461" t="s">
        <v>4</v>
      </c>
      <c r="S46" s="435">
        <v>104767</v>
      </c>
      <c r="T46" s="435">
        <v>111170</v>
      </c>
      <c r="U46" s="435">
        <v>110308</v>
      </c>
      <c r="V46" s="435">
        <f>'SCH data and adjusts'!B39</f>
        <v>105968</v>
      </c>
      <c r="W46" s="435">
        <f>'SCH data and adjusts'!C39</f>
        <v>102194</v>
      </c>
      <c r="X46" s="1518">
        <f>'SCH data and adjusts'!D39</f>
        <v>96773</v>
      </c>
      <c r="Y46" s="985">
        <f>'SCH data and adjusts'!E39</f>
        <v>90774</v>
      </c>
      <c r="Z46" s="435">
        <f>3*'What If Data'!B30</f>
        <v>0</v>
      </c>
    </row>
    <row r="47" spans="1:51" s="10" customFormat="1">
      <c r="A47" s="461" t="s">
        <v>14</v>
      </c>
      <c r="B47" s="435">
        <f t="shared" si="8"/>
        <v>0</v>
      </c>
      <c r="C47" s="435">
        <f t="shared" si="9"/>
        <v>192.21299999999999</v>
      </c>
      <c r="D47" s="435">
        <f t="shared" si="10"/>
        <v>5124.549</v>
      </c>
      <c r="E47" s="42"/>
      <c r="F47" s="461" t="s">
        <v>14</v>
      </c>
      <c r="G47" s="434">
        <f t="shared" si="11"/>
        <v>0</v>
      </c>
      <c r="H47" s="434">
        <f t="shared" si="12"/>
        <v>166.78799999999998</v>
      </c>
      <c r="I47" s="434">
        <f t="shared" si="13"/>
        <v>5261.8319999999994</v>
      </c>
      <c r="J47"/>
      <c r="K47" s="435">
        <f t="shared" si="14"/>
        <v>0</v>
      </c>
      <c r="L47" s="435">
        <f t="shared" si="6"/>
        <v>152.54999999999998</v>
      </c>
      <c r="M47" s="435">
        <f t="shared" si="7"/>
        <v>5091.7649999999994</v>
      </c>
      <c r="N47" s="1014"/>
      <c r="O47" s="1014"/>
      <c r="P47" s="1015"/>
      <c r="Q47"/>
      <c r="R47" s="461" t="s">
        <v>14</v>
      </c>
      <c r="S47" s="434">
        <v>0</v>
      </c>
      <c r="T47" s="434">
        <v>0</v>
      </c>
      <c r="U47" s="434">
        <v>0</v>
      </c>
      <c r="V47" s="434">
        <f>'SCH data and adjusts'!B40</f>
        <v>0</v>
      </c>
      <c r="W47" s="434">
        <f>'SCH data and adjusts'!C40</f>
        <v>0</v>
      </c>
      <c r="X47" s="1519">
        <f>'SCH data and adjusts'!D40</f>
        <v>0</v>
      </c>
      <c r="Y47" s="985">
        <f>'SCH data and adjusts'!E40</f>
        <v>0</v>
      </c>
      <c r="Z47" s="435">
        <f>3*'What If Data'!B31</f>
        <v>0</v>
      </c>
      <c r="AA47"/>
    </row>
    <row r="48" spans="1:51">
      <c r="A48" s="463" t="s">
        <v>17</v>
      </c>
      <c r="B48" s="435">
        <f t="shared" si="8"/>
        <v>253873.31999999998</v>
      </c>
      <c r="C48" s="435">
        <f t="shared" si="9"/>
        <v>71672.05799999999</v>
      </c>
      <c r="D48" s="435">
        <f t="shared" si="10"/>
        <v>15855.162</v>
      </c>
      <c r="F48" s="463" t="s">
        <v>17</v>
      </c>
      <c r="G48" s="443">
        <f t="shared" si="11"/>
        <v>244044.91499999998</v>
      </c>
      <c r="H48" s="443">
        <f t="shared" si="12"/>
        <v>69120.404999999999</v>
      </c>
      <c r="I48" s="443">
        <f t="shared" si="13"/>
        <v>14607.321</v>
      </c>
      <c r="K48" s="435">
        <f>IF(K$9="no",K71*N$3,K71*N48)</f>
        <v>228809.86499999999</v>
      </c>
      <c r="L48" s="435">
        <f>IF(K$9="no",L71*N$4,L71*O48)</f>
        <v>66136.526999999987</v>
      </c>
      <c r="M48" s="435">
        <f>IF(K$9="no",M71*N$5,M71*P48)</f>
        <v>12716.093999999999</v>
      </c>
      <c r="N48" s="1014"/>
      <c r="O48" s="1014"/>
      <c r="P48" s="1015"/>
      <c r="R48" s="463" t="s">
        <v>17</v>
      </c>
      <c r="S48" s="443">
        <v>87146</v>
      </c>
      <c r="T48" s="443">
        <v>87867</v>
      </c>
      <c r="U48" s="443">
        <v>93140</v>
      </c>
      <c r="V48" s="443">
        <f>'SCH data and adjusts'!B41</f>
        <v>90207</v>
      </c>
      <c r="W48" s="443">
        <f>'SCH data and adjusts'!C41</f>
        <v>82833</v>
      </c>
      <c r="X48" s="1521">
        <f>'SCH data and adjusts'!D41</f>
        <v>78944</v>
      </c>
      <c r="Y48" s="987">
        <f>'SCH data and adjusts'!E41</f>
        <v>70461</v>
      </c>
      <c r="Z48" s="435">
        <f>3*'What If Data'!B32</f>
        <v>0</v>
      </c>
    </row>
    <row r="49" spans="1:51">
      <c r="A49" s="461" t="s">
        <v>316</v>
      </c>
      <c r="B49" s="435">
        <f t="shared" si="8"/>
        <v>177.66</v>
      </c>
      <c r="C49" s="435">
        <f t="shared" si="9"/>
        <v>0</v>
      </c>
      <c r="D49" s="435">
        <f t="shared" si="10"/>
        <v>3548.8679999999999</v>
      </c>
      <c r="F49" s="461" t="s">
        <v>316</v>
      </c>
      <c r="G49" s="434">
        <f t="shared" si="11"/>
        <v>177.66</v>
      </c>
      <c r="H49" s="434">
        <f t="shared" si="12"/>
        <v>0</v>
      </c>
      <c r="I49" s="434">
        <f t="shared" si="13"/>
        <v>4759.8270000000002</v>
      </c>
      <c r="K49" s="435">
        <f>IF(K$9="no",K72*N$3,K72*N49)</f>
        <v>153.69</v>
      </c>
      <c r="L49" s="435">
        <f>IF(K$9="no",L72*N$4,L72*O49)</f>
        <v>5.0849999999999991</v>
      </c>
      <c r="M49" s="435">
        <f>IF(K$9="no",M72*N$5,M72*P49)</f>
        <v>5188.0680000000002</v>
      </c>
      <c r="N49" s="1014"/>
      <c r="O49" s="1021"/>
      <c r="P49" s="1022"/>
      <c r="R49" s="461" t="s">
        <v>316</v>
      </c>
      <c r="S49" s="434">
        <v>105</v>
      </c>
      <c r="T49" s="434">
        <v>98</v>
      </c>
      <c r="U49" s="434">
        <v>72</v>
      </c>
      <c r="V49" s="435">
        <f>'SCH data and adjusts'!B42</f>
        <v>108</v>
      </c>
      <c r="W49" s="435">
        <f>'SCH data and adjusts'!C42</f>
        <v>72</v>
      </c>
      <c r="X49" s="1518">
        <f>'SCH data and adjusts'!D42</f>
        <v>72</v>
      </c>
      <c r="Y49" s="985">
        <f>'SCH data and adjusts'!E42</f>
        <v>74</v>
      </c>
      <c r="Z49" s="435">
        <f>3*'What If Data'!B33</f>
        <v>0</v>
      </c>
    </row>
    <row r="50" spans="1:51" s="10" customFormat="1">
      <c r="A50" s="461" t="s">
        <v>7</v>
      </c>
      <c r="B50" s="435">
        <f t="shared" si="8"/>
        <v>77743.17</v>
      </c>
      <c r="C50" s="435">
        <f t="shared" si="9"/>
        <v>9977.7869999999984</v>
      </c>
      <c r="D50" s="435">
        <f t="shared" si="10"/>
        <v>6347.8019999999997</v>
      </c>
      <c r="E50" s="42"/>
      <c r="F50" s="461" t="s">
        <v>7</v>
      </c>
      <c r="G50" s="435">
        <f t="shared" si="11"/>
        <v>79489.455000000002</v>
      </c>
      <c r="H50" s="435">
        <f t="shared" si="12"/>
        <v>9834.39</v>
      </c>
      <c r="I50" s="435">
        <f t="shared" si="13"/>
        <v>6306.8220000000001</v>
      </c>
      <c r="J50"/>
      <c r="K50" s="435">
        <f>IF(K$9="no",K73*N$3,K73*N50)</f>
        <v>79387.934999999998</v>
      </c>
      <c r="L50" s="435">
        <f>IF(K$9="no",L73*N$4,L73*O50)</f>
        <v>9769.3019999999997</v>
      </c>
      <c r="M50" s="435">
        <f>IF(K$9="no",M73*N$5,M73*P50)</f>
        <v>6485.085</v>
      </c>
      <c r="N50" s="1014"/>
      <c r="O50" s="1014"/>
      <c r="P50" s="1015"/>
      <c r="Q50"/>
      <c r="R50" s="461" t="s">
        <v>7</v>
      </c>
      <c r="S50" s="435">
        <v>30320</v>
      </c>
      <c r="T50" s="435">
        <v>31938</v>
      </c>
      <c r="U50" s="435">
        <v>32605</v>
      </c>
      <c r="V50" s="435">
        <f>'SCH data and adjusts'!B43</f>
        <v>3808</v>
      </c>
      <c r="W50" s="435">
        <f>'SCH data and adjusts'!C43</f>
        <v>4146</v>
      </c>
      <c r="X50" s="1518">
        <f>'SCH data and adjusts'!D43</f>
        <v>4361</v>
      </c>
      <c r="Y50" s="985">
        <f>'SCH data and adjusts'!E43</f>
        <v>3891</v>
      </c>
      <c r="Z50" s="435">
        <f>3*'What If Data'!B34</f>
        <v>0</v>
      </c>
      <c r="AA50"/>
      <c r="AB50"/>
      <c r="AC50"/>
      <c r="AD50"/>
      <c r="AE50"/>
      <c r="AF50"/>
      <c r="AG50"/>
      <c r="AH50"/>
      <c r="AI50"/>
      <c r="AJ50"/>
      <c r="AK50"/>
      <c r="AL50"/>
      <c r="AM50"/>
      <c r="AN50"/>
      <c r="AO50"/>
      <c r="AP50"/>
      <c r="AQ50"/>
      <c r="AR50"/>
      <c r="AS50"/>
      <c r="AT50"/>
      <c r="AU50"/>
      <c r="AV50"/>
      <c r="AW50"/>
      <c r="AX50"/>
      <c r="AY50"/>
    </row>
    <row r="51" spans="1:51">
      <c r="A51" s="461" t="s">
        <v>9</v>
      </c>
      <c r="B51" s="435">
        <f t="shared" si="8"/>
        <v>55859.264999999999</v>
      </c>
      <c r="C51" s="435">
        <f t="shared" si="9"/>
        <v>13347.107999999998</v>
      </c>
      <c r="D51" s="435">
        <f t="shared" si="10"/>
        <v>3643.1219999999998</v>
      </c>
      <c r="F51" s="461" t="s">
        <v>9</v>
      </c>
      <c r="G51" s="435">
        <f t="shared" si="11"/>
        <v>50914.394999999997</v>
      </c>
      <c r="H51" s="435">
        <f t="shared" si="12"/>
        <v>11230.731</v>
      </c>
      <c r="I51" s="435">
        <f t="shared" si="13"/>
        <v>2692.386</v>
      </c>
      <c r="K51" s="435">
        <f>IF(K$9="no",K74*N$3,K74*N51)</f>
        <v>46665.36</v>
      </c>
      <c r="L51" s="435">
        <f>IF(K$9="no",L74*N$4,L74*O51)</f>
        <v>10317.464999999998</v>
      </c>
      <c r="M51" s="435">
        <f>IF(K$9="no",M74*N$5,M74*P51)</f>
        <v>2303.076</v>
      </c>
      <c r="N51" s="1014"/>
      <c r="O51" s="1014"/>
      <c r="P51" s="1015"/>
      <c r="R51" s="461" t="s">
        <v>9</v>
      </c>
      <c r="S51" s="435">
        <v>19618</v>
      </c>
      <c r="T51" s="435">
        <v>16058</v>
      </c>
      <c r="U51" s="435">
        <v>15714</v>
      </c>
      <c r="V51" s="435">
        <f>'SCH data and adjusts'!B44</f>
        <v>15520</v>
      </c>
      <c r="W51" s="435">
        <f>'SCH data and adjusts'!C44</f>
        <v>14594</v>
      </c>
      <c r="X51" s="1518">
        <f>'SCH data and adjusts'!D44</f>
        <v>13898</v>
      </c>
      <c r="Y51" s="985">
        <f>'SCH data and adjusts'!E44</f>
        <v>13560</v>
      </c>
      <c r="Z51" s="435">
        <f>3*'What If Data'!B35</f>
        <v>0</v>
      </c>
    </row>
    <row r="52" spans="1:51">
      <c r="A52" s="463" t="s">
        <v>5</v>
      </c>
      <c r="B52" s="435">
        <f t="shared" si="8"/>
        <v>21725.985000000001</v>
      </c>
      <c r="C52" s="435">
        <f t="shared" si="9"/>
        <v>16641.170999999998</v>
      </c>
      <c r="D52" s="435">
        <f t="shared" si="10"/>
        <v>5817.1109999999999</v>
      </c>
      <c r="F52" s="463" t="s">
        <v>5</v>
      </c>
      <c r="G52" s="443">
        <f t="shared" si="11"/>
        <v>19878.18</v>
      </c>
      <c r="H52" s="443">
        <f t="shared" si="12"/>
        <v>15435.008999999998</v>
      </c>
      <c r="I52" s="443">
        <f t="shared" si="13"/>
        <v>6310.92</v>
      </c>
      <c r="K52" s="435">
        <f>IF(K$9="no",K75*N$3,K75*N52)</f>
        <v>18404.73</v>
      </c>
      <c r="L52" s="435">
        <f>IF(K$9="no",L75*N$4,L75*O52)</f>
        <v>13062.347999999998</v>
      </c>
      <c r="M52" s="435">
        <f>IF(K$9="no",M75*N$5,M75*P52)</f>
        <v>6110.1179999999995</v>
      </c>
      <c r="N52" s="1014"/>
      <c r="O52" s="1014"/>
      <c r="P52" s="1015"/>
      <c r="R52" s="463" t="s">
        <v>5</v>
      </c>
      <c r="S52" s="443">
        <v>10065</v>
      </c>
      <c r="T52" s="443">
        <v>9295</v>
      </c>
      <c r="U52" s="443">
        <v>9908</v>
      </c>
      <c r="V52" s="443">
        <f>'SCH data and adjusts'!B45</f>
        <v>9946</v>
      </c>
      <c r="W52" s="443">
        <f>'SCH data and adjusts'!C45</f>
        <v>7169</v>
      </c>
      <c r="X52" s="1521">
        <f>'SCH data and adjusts'!D45</f>
        <v>6784</v>
      </c>
      <c r="Y52" s="987">
        <f>'SCH data and adjusts'!E45</f>
        <v>6902</v>
      </c>
      <c r="Z52" s="435">
        <f>3*'What If Data'!B36</f>
        <v>0</v>
      </c>
    </row>
    <row r="53" spans="1:51">
      <c r="A53" s="1234" t="s">
        <v>534</v>
      </c>
      <c r="B53" s="1235">
        <f>SUM(U16:W16)*N4*D91</f>
        <v>33490.115099999995</v>
      </c>
      <c r="C53" s="1236">
        <f>IF(F$9="no",C76*I$4,C76*J53)</f>
        <v>0</v>
      </c>
      <c r="D53" s="1236">
        <f>IF(F$9="no",D76*I$5,D76*K53)</f>
        <v>0</v>
      </c>
      <c r="F53" s="1234" t="s">
        <v>534</v>
      </c>
      <c r="G53" s="1235">
        <f>SUM(V16:X16)*N3*D91</f>
        <v>21554.705249999999</v>
      </c>
      <c r="H53" s="1236">
        <f t="shared" si="12"/>
        <v>0</v>
      </c>
      <c r="I53" s="1236">
        <f t="shared" si="13"/>
        <v>0</v>
      </c>
      <c r="K53" s="435">
        <f>IF($D13="no",(Y16+W16+X16)*$N3*N53,(Y16+W16+X16)*$N3*D91)</f>
        <v>19480.2075</v>
      </c>
      <c r="L53" s="1016"/>
      <c r="M53" s="1016"/>
      <c r="N53" s="1017">
        <f>IF(D85="yes",D93,1)</f>
        <v>0</v>
      </c>
      <c r="O53" s="462">
        <f>SUM(W16:Y16)*N3</f>
        <v>29969.55</v>
      </c>
      <c r="R53" s="441"/>
      <c r="S53" s="434"/>
      <c r="T53" s="434"/>
      <c r="U53" s="434"/>
      <c r="V53" s="434"/>
      <c r="W53" s="434"/>
      <c r="X53" s="1519"/>
      <c r="Y53" s="986"/>
      <c r="Z53" s="434"/>
    </row>
    <row r="54" spans="1:51">
      <c r="A54" s="461" t="s">
        <v>516</v>
      </c>
      <c r="B54" s="435">
        <f>IF(K$9="no",B77*N$3,B77*N54)</f>
        <v>2301.8249999999998</v>
      </c>
      <c r="C54" s="435">
        <f>IF(K$9="no",C77*N$4,C77*J54)</f>
        <v>2581.1459999999997</v>
      </c>
      <c r="D54" s="435">
        <f>IF(K$9="no",D77*N$5,D77*K54)</f>
        <v>0</v>
      </c>
      <c r="F54" s="461" t="s">
        <v>516</v>
      </c>
      <c r="G54" s="434">
        <f t="shared" si="11"/>
        <v>2294.7750000000001</v>
      </c>
      <c r="H54" s="434">
        <f t="shared" si="12"/>
        <v>2926.9259999999999</v>
      </c>
      <c r="I54" s="434">
        <f t="shared" si="13"/>
        <v>0</v>
      </c>
      <c r="K54" s="435">
        <f>IF(K$9="no",K77*N$3,K77*N54)</f>
        <v>2339.19</v>
      </c>
      <c r="L54" s="435">
        <f>IF(K$9="no",L77*N$4,L77*O54)</f>
        <v>3099.8159999999998</v>
      </c>
      <c r="M54" s="435">
        <f>IF(K$9="no",M77*N$5,M77*P54)</f>
        <v>0</v>
      </c>
      <c r="N54" s="1014"/>
      <c r="O54" s="1014"/>
      <c r="P54" s="1015"/>
      <c r="R54" s="461" t="s">
        <v>516</v>
      </c>
      <c r="S54" s="434">
        <v>1065</v>
      </c>
      <c r="T54" s="434">
        <v>1346</v>
      </c>
      <c r="U54" s="434">
        <v>1152</v>
      </c>
      <c r="V54" s="435">
        <f>'SCH data and adjusts'!B47</f>
        <v>1019</v>
      </c>
      <c r="W54" s="435">
        <f>'SCH data and adjusts'!C47</f>
        <v>1094</v>
      </c>
      <c r="X54" s="1518">
        <f>'SCH data and adjusts'!D47</f>
        <v>1142</v>
      </c>
      <c r="Y54" s="985">
        <f>'SCH data and adjusts'!E47</f>
        <v>1082</v>
      </c>
      <c r="Z54" s="435"/>
    </row>
    <row r="55" spans="1:51">
      <c r="A55" s="461" t="s">
        <v>537</v>
      </c>
      <c r="B55" s="435">
        <f>IF(K$9="no",B78*N$3,B78*N55)</f>
        <v>178.36499999999998</v>
      </c>
      <c r="C55" s="435">
        <f>IF(K$9="no",C78*N$4,C78*J55)</f>
        <v>385.44299999999998</v>
      </c>
      <c r="D55" s="435">
        <f>IF(K$9="no",D78*N$5,D78*K55)</f>
        <v>6.1470000000000002</v>
      </c>
      <c r="F55" s="461" t="s">
        <v>537</v>
      </c>
      <c r="G55" s="434">
        <f t="shared" si="11"/>
        <v>198.81</v>
      </c>
      <c r="H55" s="434">
        <f t="shared" si="12"/>
        <v>420.02099999999996</v>
      </c>
      <c r="I55" s="434">
        <f t="shared" si="13"/>
        <v>0</v>
      </c>
      <c r="K55" s="435">
        <f>IF(K$9="no",K78*N$3,K78*N55)</f>
        <v>233.35499999999999</v>
      </c>
      <c r="L55" s="435">
        <f>IF(K$9="no",L78*N$4,L78*O55)</f>
        <v>257.30099999999999</v>
      </c>
      <c r="M55" s="435">
        <f>IF(K$9="no",M78*N$5,M78*P55)</f>
        <v>0</v>
      </c>
      <c r="N55" s="1014"/>
      <c r="O55" s="1014"/>
      <c r="P55" s="1015"/>
      <c r="R55" s="461" t="s">
        <v>537</v>
      </c>
      <c r="S55" s="434">
        <v>314</v>
      </c>
      <c r="T55" s="434">
        <v>66</v>
      </c>
      <c r="U55" s="434">
        <v>72</v>
      </c>
      <c r="V55" s="435">
        <f>'SCH data and adjusts'!B48</f>
        <v>76</v>
      </c>
      <c r="W55" s="435">
        <f>'SCH data and adjusts'!C48</f>
        <v>105</v>
      </c>
      <c r="X55" s="1518">
        <f>'SCH data and adjusts'!D48</f>
        <v>101</v>
      </c>
      <c r="Y55" s="985">
        <f>'SCH data and adjusts'!E48</f>
        <v>125</v>
      </c>
      <c r="Z55" s="435"/>
    </row>
    <row r="56" spans="1:51">
      <c r="A56" s="441" t="s">
        <v>518</v>
      </c>
      <c r="B56" s="435">
        <f>IF(K$9="no",B79*N$3,B79*N56)</f>
        <v>2473.8449999999998</v>
      </c>
      <c r="C56" s="435">
        <f>IF(K$9="no",C79*N$4,C79*J56)</f>
        <v>3487.2929999999997</v>
      </c>
      <c r="D56" s="435">
        <f>IF(K$9="no",D79*N$5,D79*K56)</f>
        <v>36.881999999999998</v>
      </c>
      <c r="F56" s="441" t="s">
        <v>518</v>
      </c>
      <c r="G56" s="516">
        <f t="shared" si="11"/>
        <v>0</v>
      </c>
      <c r="H56" s="452">
        <f t="shared" si="12"/>
        <v>2244.5189999999998</v>
      </c>
      <c r="I56" s="452">
        <f t="shared" si="13"/>
        <v>0</v>
      </c>
      <c r="K56" s="435">
        <f>(IF(K$9="no",K79*N$3,K79*N56))</f>
        <v>2.82</v>
      </c>
      <c r="L56" s="435">
        <f>(IF(K$9="no",L79*N$4,L79*O56))</f>
        <v>2294.3519999999999</v>
      </c>
      <c r="M56" s="435">
        <f>(IF(K$9="no",M79*N$5,M79*P56))</f>
        <v>0</v>
      </c>
      <c r="N56" s="1014"/>
      <c r="O56" s="1014"/>
      <c r="P56" s="1015"/>
      <c r="R56" s="463" t="s">
        <v>518</v>
      </c>
      <c r="S56" s="444">
        <v>3199</v>
      </c>
      <c r="T56" s="444">
        <v>3453</v>
      </c>
      <c r="U56" s="444">
        <v>3509</v>
      </c>
      <c r="V56" s="443">
        <f>'SCH data and adjusts'!B49</f>
        <v>0</v>
      </c>
      <c r="W56" s="443">
        <f>'SCH data and adjusts'!C49</f>
        <v>0</v>
      </c>
      <c r="X56" s="1521">
        <f>'SCH data and adjusts'!D49</f>
        <v>0</v>
      </c>
      <c r="Y56" s="987">
        <f>'SCH data and adjusts'!E49</f>
        <v>4</v>
      </c>
      <c r="Z56" s="435">
        <f>3*'What If Data'!B40</f>
        <v>0</v>
      </c>
    </row>
    <row r="57" spans="1:51">
      <c r="A57" s="461" t="s">
        <v>536</v>
      </c>
      <c r="B57" s="435">
        <f>IF(K$9="no",B80*N$3,B80*N57)</f>
        <v>21068.219999999998</v>
      </c>
      <c r="C57" s="435">
        <f>IF(K$9="no",C80*N$4,C80*J57)</f>
        <v>251.19899999999998</v>
      </c>
      <c r="D57" s="435">
        <f>IF(K$9="no",D80*N$5,D80*K57)</f>
        <v>0</v>
      </c>
      <c r="F57" s="461" t="s">
        <v>536</v>
      </c>
      <c r="G57" s="434">
        <f t="shared" si="11"/>
        <v>20176.395</v>
      </c>
      <c r="H57" s="434">
        <f t="shared" si="12"/>
        <v>453.58199999999994</v>
      </c>
      <c r="I57" s="434">
        <f t="shared" si="13"/>
        <v>0</v>
      </c>
      <c r="K57" s="435">
        <f>IF(K$9="no",K80*N$3,K80*N57)</f>
        <v>19152.03</v>
      </c>
      <c r="L57" s="435">
        <f>IF(K$9="no",L80*N$4,L80*O57)</f>
        <v>581.72399999999993</v>
      </c>
      <c r="M57" s="435">
        <f>IF(K$9="no",M80*N$5,M80*P57)</f>
        <v>0</v>
      </c>
      <c r="N57" s="1014"/>
      <c r="O57" s="1014"/>
      <c r="P57" s="1015"/>
      <c r="R57" s="461" t="s">
        <v>536</v>
      </c>
      <c r="S57" s="434">
        <v>10095</v>
      </c>
      <c r="T57" s="434">
        <v>11687</v>
      </c>
      <c r="U57" s="434">
        <v>10638</v>
      </c>
      <c r="V57" s="435">
        <f>'SCH data and adjusts'!B50</f>
        <v>9282</v>
      </c>
      <c r="W57" s="435">
        <f>'SCH data and adjusts'!C50</f>
        <v>9964</v>
      </c>
      <c r="X57" s="1518">
        <f>'SCH data and adjusts'!D50</f>
        <v>9373</v>
      </c>
      <c r="Y57" s="985">
        <f>'SCH data and adjusts'!E50</f>
        <v>7829</v>
      </c>
      <c r="Z57" s="435"/>
    </row>
    <row r="58" spans="1:51">
      <c r="A58" s="467" t="s">
        <v>520</v>
      </c>
      <c r="B58" s="435">
        <f>IF(K$9="no",B81*N$3,B81*N58)</f>
        <v>277.77</v>
      </c>
      <c r="C58" s="435">
        <f>IF(K$9="no",C81*N$4,C81*J58)</f>
        <v>1474.6499999999999</v>
      </c>
      <c r="D58" s="435">
        <f>IF(K$9="no",D81*N$5,D81*K58)</f>
        <v>0</v>
      </c>
      <c r="F58" s="467" t="s">
        <v>520</v>
      </c>
      <c r="G58" s="434">
        <f t="shared" si="11"/>
        <v>268.60499999999996</v>
      </c>
      <c r="H58" s="434">
        <f t="shared" si="12"/>
        <v>1507.194</v>
      </c>
      <c r="I58" s="434">
        <f t="shared" si="13"/>
        <v>0</v>
      </c>
      <c r="K58" s="435">
        <f>IF(K$9="no",K81*N$3,K81*N58)</f>
        <v>238.29</v>
      </c>
      <c r="L58" s="435">
        <f>IF(K$9="no",L81*N$4,L81*O58)</f>
        <v>1915.0109999999997</v>
      </c>
      <c r="M58" s="435">
        <f>IF(K$9="no",M81*N$5,M81*P58)</f>
        <v>0</v>
      </c>
      <c r="N58" s="1014"/>
      <c r="O58" s="1014"/>
      <c r="P58" s="1015"/>
      <c r="R58" s="467" t="s">
        <v>520</v>
      </c>
      <c r="S58" s="434">
        <v>1137</v>
      </c>
      <c r="T58" s="434">
        <v>716</v>
      </c>
      <c r="U58" s="434">
        <v>110</v>
      </c>
      <c r="V58" s="435">
        <f>'SCH data and adjusts'!B51</f>
        <v>97</v>
      </c>
      <c r="W58" s="435">
        <f>'SCH data and adjusts'!C51</f>
        <v>187</v>
      </c>
      <c r="X58" s="1518">
        <f>'SCH data and adjusts'!D51</f>
        <v>97</v>
      </c>
      <c r="Y58" s="985">
        <f>'SCH data and adjusts'!E51</f>
        <v>54</v>
      </c>
      <c r="Z58" s="435"/>
    </row>
    <row r="59" spans="1:51">
      <c r="A59" s="446"/>
      <c r="B59" s="447">
        <f>SUM(B41:B58)</f>
        <v>871908.54509999999</v>
      </c>
      <c r="C59" s="447">
        <f>SUM(C41:C58)</f>
        <v>248834.47499999998</v>
      </c>
      <c r="D59" s="447">
        <f>SUM(D41:D58)</f>
        <v>78976.656000000003</v>
      </c>
      <c r="F59" s="446"/>
      <c r="G59" s="447">
        <f>SUM(G41:G58)</f>
        <v>838639.83525000012</v>
      </c>
      <c r="H59" s="447">
        <f>SUM(H41:H58)</f>
        <v>239558.41799999998</v>
      </c>
      <c r="I59" s="447">
        <f>SUM(I41:I58)</f>
        <v>75757.677000000011</v>
      </c>
      <c r="K59" s="447">
        <f>SUM(K41:K58)</f>
        <v>810698.18249999988</v>
      </c>
      <c r="L59" s="447">
        <f>SUM(L41:L58)</f>
        <v>233561.16899999997</v>
      </c>
      <c r="M59" s="447">
        <f>SUM(M41:M58)</f>
        <v>72499.766999999993</v>
      </c>
      <c r="N59" s="438"/>
      <c r="O59" s="438"/>
      <c r="R59" s="446" t="s">
        <v>180</v>
      </c>
      <c r="S59" s="447">
        <v>302930</v>
      </c>
      <c r="T59" s="447">
        <v>313480</v>
      </c>
      <c r="U59" s="447">
        <v>317145</v>
      </c>
      <c r="V59" s="447">
        <f>SUM(V41:V58)</f>
        <v>257050</v>
      </c>
      <c r="W59" s="447">
        <f>SUM(W41:W58)</f>
        <v>244860</v>
      </c>
      <c r="X59" s="989">
        <f>SUM(X41:X58)</f>
        <v>235619</v>
      </c>
      <c r="Y59" s="989">
        <f>SUM(Y41:Y58)</f>
        <v>215568</v>
      </c>
      <c r="Z59" s="447"/>
    </row>
    <row r="60" spans="1:51">
      <c r="B60" s="829">
        <f>B59/(B59+C59+D59)</f>
        <v>0.72676022780118521</v>
      </c>
      <c r="C60" s="829">
        <f>C59/(B59+C59+D59)</f>
        <v>0.2074105142702177</v>
      </c>
      <c r="D60" s="829">
        <f>D59/(B59+C59+D59)</f>
        <v>6.5829257928597215E-2</v>
      </c>
      <c r="G60" s="829">
        <f>G59/(G59+H59+I59)</f>
        <v>0.72675204768722157</v>
      </c>
      <c r="H60" s="829">
        <f>H59/(G59+H59+I59)</f>
        <v>0.20759754486300061</v>
      </c>
      <c r="I60" s="829">
        <f>I59/(G59+H59+I59)</f>
        <v>6.5650407449777917E-2</v>
      </c>
      <c r="K60" s="829">
        <f>K59/(K59+L59+M59)</f>
        <v>0.72593827000840372</v>
      </c>
      <c r="L60" s="829">
        <f>L59/(K59+L59+M59)</f>
        <v>0.20914194039777612</v>
      </c>
      <c r="M60" s="829">
        <f>M59/(K59+L59+M59)</f>
        <v>6.4919789593820096E-2</v>
      </c>
      <c r="N60"/>
      <c r="O60"/>
      <c r="R60" s="448"/>
      <c r="S60" s="435">
        <v>395340</v>
      </c>
      <c r="T60" s="435">
        <v>404650</v>
      </c>
      <c r="U60" s="435">
        <v>407970</v>
      </c>
      <c r="V60" s="435">
        <v>147817</v>
      </c>
      <c r="W60" s="435"/>
      <c r="X60" s="435"/>
      <c r="Y60" s="435"/>
      <c r="Z60" s="435"/>
    </row>
    <row r="61" spans="1:51">
      <c r="L61"/>
      <c r="M61"/>
      <c r="N61"/>
      <c r="O61"/>
      <c r="R61" s="434"/>
      <c r="S61" s="435">
        <v>395375</v>
      </c>
      <c r="T61" s="435">
        <v>404669</v>
      </c>
      <c r="U61" s="435">
        <v>408027</v>
      </c>
      <c r="V61" s="435">
        <v>147829</v>
      </c>
      <c r="W61" s="435"/>
      <c r="X61" s="435"/>
      <c r="Y61" s="435"/>
      <c r="Z61" s="435"/>
    </row>
    <row r="62" spans="1:51">
      <c r="A62" s="456" t="s">
        <v>531</v>
      </c>
      <c r="B62" s="456"/>
      <c r="C62" s="456"/>
      <c r="D62" s="456"/>
      <c r="F62" s="456" t="s">
        <v>531</v>
      </c>
      <c r="G62" s="456"/>
      <c r="H62" s="456"/>
      <c r="I62" s="456"/>
      <c r="J62" s="456"/>
      <c r="K62" s="456"/>
      <c r="L62" s="456"/>
      <c r="M62" s="456"/>
      <c r="N62" s="456"/>
      <c r="O62" s="456"/>
      <c r="R62" s="434"/>
      <c r="S62" s="434"/>
      <c r="T62" s="434"/>
      <c r="U62" s="434"/>
      <c r="V62" s="434"/>
      <c r="W62" s="434"/>
      <c r="X62" s="434"/>
      <c r="Y62" s="434"/>
      <c r="Z62" s="434"/>
    </row>
    <row r="63" spans="1:51" ht="25.5">
      <c r="A63" s="214"/>
      <c r="B63" s="457" t="s">
        <v>981</v>
      </c>
      <c r="C63" s="457" t="s">
        <v>982</v>
      </c>
      <c r="D63" s="457" t="s">
        <v>1658</v>
      </c>
      <c r="F63" s="214"/>
      <c r="G63" s="457" t="s">
        <v>1240</v>
      </c>
      <c r="H63" s="457" t="s">
        <v>1242</v>
      </c>
      <c r="I63" s="457" t="s">
        <v>1241</v>
      </c>
      <c r="J63" s="214"/>
      <c r="K63" s="457" t="s">
        <v>1578</v>
      </c>
      <c r="L63" s="457" t="s">
        <v>1579</v>
      </c>
      <c r="M63" s="457" t="s">
        <v>1580</v>
      </c>
      <c r="N63" s="457"/>
      <c r="O63" s="457"/>
      <c r="R63" s="1414" t="s">
        <v>522</v>
      </c>
      <c r="S63" s="1082"/>
      <c r="T63" s="1082"/>
      <c r="U63" s="1082"/>
      <c r="V63" s="1082"/>
      <c r="W63" s="1082"/>
      <c r="X63" s="1082"/>
      <c r="Y63" s="1082"/>
      <c r="Z63" s="1082"/>
    </row>
    <row r="64" spans="1:51">
      <c r="A64" s="441" t="s">
        <v>513</v>
      </c>
      <c r="B64" s="435">
        <f>IF(K$7="no",W19+U19+V19+W41+U41+V41,0)</f>
        <v>49716</v>
      </c>
      <c r="C64" s="435">
        <f>IF(K$7="no",W85+U85+V85,0)</f>
        <v>24362</v>
      </c>
      <c r="D64" s="435">
        <f>IF(K$7="no",W134+U134+V134,0)</f>
        <v>3246</v>
      </c>
      <c r="F64" s="441" t="s">
        <v>513</v>
      </c>
      <c r="G64" s="435">
        <f>IF(K$7="no",X19+V19+W19+X41+V41+W41,0)</f>
        <v>51140</v>
      </c>
      <c r="H64" s="435">
        <f>IF(K$7="no",X85+V85+W85,0)</f>
        <v>24376</v>
      </c>
      <c r="I64" s="435">
        <f>IF(K$7="no",X134+V134+W134,0)</f>
        <v>2794</v>
      </c>
      <c r="K64" s="435">
        <f>IF(K$7="no",X19+W19+Y19+X41+W41+Y41+Z19+Z41,0)</f>
        <v>52093</v>
      </c>
      <c r="L64" s="435">
        <f>IF(K$7="no",X85+W85+Y85+Z85,0)</f>
        <v>24171</v>
      </c>
      <c r="M64" s="435">
        <f>IF(K$7="no",Y134+W134+X134+Z134,0)</f>
        <v>2478</v>
      </c>
      <c r="N64" s="435"/>
      <c r="O64" s="1014"/>
      <c r="R64" s="441" t="s">
        <v>513</v>
      </c>
      <c r="S64" s="435">
        <v>17403</v>
      </c>
      <c r="T64" s="435">
        <v>19218</v>
      </c>
      <c r="U64" s="435">
        <v>18548</v>
      </c>
      <c r="V64" s="435">
        <f>'SCH data and adjusts'!B57</f>
        <v>18251</v>
      </c>
      <c r="W64" s="435">
        <f>'SCH data and adjusts'!C57</f>
        <v>16857</v>
      </c>
      <c r="X64" s="1518">
        <f>'SCH data and adjusts'!D57</f>
        <v>14787</v>
      </c>
      <c r="Y64" s="985">
        <f>'SCH data and adjusts'!E57</f>
        <v>13928</v>
      </c>
      <c r="Z64" s="435">
        <f>3*'What If Data'!E25</f>
        <v>0</v>
      </c>
    </row>
    <row r="65" spans="1:26">
      <c r="A65" s="441" t="s">
        <v>6</v>
      </c>
      <c r="B65" s="435">
        <f t="shared" ref="B65:B81" si="15">IF(K$7="no",W20+U20+V20+W42+U42+V42,0)</f>
        <v>80779</v>
      </c>
      <c r="C65" s="435">
        <f t="shared" ref="C65:C81" si="16">IF(K$7="no",W86+U86+V86,0)</f>
        <v>21178</v>
      </c>
      <c r="D65" s="435">
        <f t="shared" ref="D65:D81" si="17">IF(K$7="no",W135+U135+V135,0)</f>
        <v>2183</v>
      </c>
      <c r="E65"/>
      <c r="F65" s="441" t="s">
        <v>6</v>
      </c>
      <c r="G65" s="435">
        <f t="shared" ref="G65:G81" si="18">IF(K$7="no",X20+V20+W20+X42+V42+W42,0)</f>
        <v>87736</v>
      </c>
      <c r="H65" s="435">
        <f t="shared" ref="H65:H81" si="19">IF(K$7="no",X86+V86+W86,0)</f>
        <v>16332</v>
      </c>
      <c r="I65" s="435">
        <f t="shared" ref="I65:I81" si="20">IF(K$7="no",X135+V135+W135,0)</f>
        <v>1262</v>
      </c>
      <c r="K65" s="435">
        <f t="shared" ref="K65:K75" si="21">IF(K$7="no",X20+W20+Y20+X42+W42+Y42+Z20+Z42,0)</f>
        <v>96807</v>
      </c>
      <c r="L65" s="435">
        <f t="shared" ref="L65:L75" si="22">IF(K$7="no",X86+W86+Y86+Z86,0)</f>
        <v>18004</v>
      </c>
      <c r="M65" s="435">
        <f t="shared" ref="M65:M75" si="23">IF(K$7="no",Y135+W135+X135+Z135,0)</f>
        <v>1566</v>
      </c>
      <c r="N65" s="435"/>
      <c r="O65" s="1014"/>
      <c r="R65" s="441" t="s">
        <v>6</v>
      </c>
      <c r="S65" s="435">
        <v>39935</v>
      </c>
      <c r="T65" s="435">
        <v>40868</v>
      </c>
      <c r="U65" s="435">
        <v>38014</v>
      </c>
      <c r="V65" s="435">
        <f>'SCH data and adjusts'!B58</f>
        <v>41530</v>
      </c>
      <c r="W65" s="435">
        <f>'SCH data and adjusts'!C58</f>
        <v>44750</v>
      </c>
      <c r="X65" s="1518">
        <f>'SCH data and adjusts'!D58</f>
        <v>46206</v>
      </c>
      <c r="Y65" s="985">
        <f>'SCH data and adjusts'!E58</f>
        <v>45499</v>
      </c>
      <c r="Z65" s="435">
        <f>3*'What If Data'!E26</f>
        <v>0</v>
      </c>
    </row>
    <row r="66" spans="1:26">
      <c r="A66" s="441" t="s">
        <v>8</v>
      </c>
      <c r="B66" s="435">
        <f t="shared" si="15"/>
        <v>9352</v>
      </c>
      <c r="C66" s="435">
        <f t="shared" si="16"/>
        <v>9792</v>
      </c>
      <c r="D66" s="435">
        <f t="shared" si="17"/>
        <v>895</v>
      </c>
      <c r="E66"/>
      <c r="F66" s="441" t="s">
        <v>8</v>
      </c>
      <c r="G66" s="435">
        <f t="shared" si="18"/>
        <v>9124</v>
      </c>
      <c r="H66" s="435">
        <f t="shared" si="19"/>
        <v>11273</v>
      </c>
      <c r="I66" s="435">
        <f t="shared" si="20"/>
        <v>926</v>
      </c>
      <c r="K66" s="435">
        <f t="shared" si="21"/>
        <v>8961</v>
      </c>
      <c r="L66" s="435">
        <f t="shared" si="22"/>
        <v>12030</v>
      </c>
      <c r="M66" s="435">
        <f t="shared" si="23"/>
        <v>770</v>
      </c>
      <c r="N66" s="435"/>
      <c r="O66" s="1014"/>
      <c r="R66" s="441" t="s">
        <v>8</v>
      </c>
      <c r="S66" s="435">
        <v>227</v>
      </c>
      <c r="T66" s="435">
        <v>94</v>
      </c>
      <c r="U66" s="435">
        <v>141</v>
      </c>
      <c r="V66" s="435">
        <f>'SCH data and adjusts'!B59</f>
        <v>245</v>
      </c>
      <c r="W66" s="435">
        <f>'SCH data and adjusts'!C59</f>
        <v>369</v>
      </c>
      <c r="X66" s="1518">
        <f>'SCH data and adjusts'!D59</f>
        <v>465</v>
      </c>
      <c r="Y66" s="985">
        <f>'SCH data and adjusts'!E59</f>
        <v>214</v>
      </c>
      <c r="Z66" s="435">
        <f>3*'What If Data'!E27</f>
        <v>0</v>
      </c>
    </row>
    <row r="67" spans="1:26">
      <c r="A67" s="442" t="s">
        <v>2</v>
      </c>
      <c r="B67" s="435">
        <f t="shared" si="15"/>
        <v>12261</v>
      </c>
      <c r="C67" s="435">
        <f t="shared" si="16"/>
        <v>3341</v>
      </c>
      <c r="D67" s="435">
        <f t="shared" si="17"/>
        <v>2234</v>
      </c>
      <c r="E67"/>
      <c r="F67" s="442" t="s">
        <v>2</v>
      </c>
      <c r="G67" s="435">
        <f t="shared" si="18"/>
        <v>12069</v>
      </c>
      <c r="H67" s="435">
        <f t="shared" si="19"/>
        <v>3430</v>
      </c>
      <c r="I67" s="435">
        <f t="shared" si="20"/>
        <v>2136</v>
      </c>
      <c r="K67" s="435">
        <f t="shared" si="21"/>
        <v>10738</v>
      </c>
      <c r="L67" s="435">
        <f t="shared" si="22"/>
        <v>3337</v>
      </c>
      <c r="M67" s="435">
        <f t="shared" si="23"/>
        <v>1837</v>
      </c>
      <c r="N67" s="443"/>
      <c r="O67" s="1014"/>
      <c r="R67" s="442" t="s">
        <v>2</v>
      </c>
      <c r="S67" s="443">
        <v>5328</v>
      </c>
      <c r="T67" s="443">
        <v>5857</v>
      </c>
      <c r="U67" s="443">
        <v>5271</v>
      </c>
      <c r="V67" s="443">
        <f>'SCH data and adjusts'!B60</f>
        <v>4808</v>
      </c>
      <c r="W67" s="443">
        <f>'SCH data and adjusts'!C60</f>
        <v>5492</v>
      </c>
      <c r="X67" s="1521">
        <f>'SCH data and adjusts'!D60</f>
        <v>5649</v>
      </c>
      <c r="Y67" s="987">
        <f>'SCH data and adjusts'!E60</f>
        <v>5588</v>
      </c>
      <c r="Z67" s="435">
        <f>3*'What If Data'!E28</f>
        <v>0</v>
      </c>
    </row>
    <row r="68" spans="1:26">
      <c r="A68" s="441" t="s">
        <v>10</v>
      </c>
      <c r="B68" s="435">
        <f t="shared" si="15"/>
        <v>2325</v>
      </c>
      <c r="C68" s="435">
        <f t="shared" si="16"/>
        <v>132</v>
      </c>
      <c r="D68" s="435">
        <f t="shared" si="17"/>
        <v>321</v>
      </c>
      <c r="E68"/>
      <c r="F68" s="441" t="s">
        <v>10</v>
      </c>
      <c r="G68" s="435">
        <f t="shared" si="18"/>
        <v>2219</v>
      </c>
      <c r="H68" s="435">
        <f t="shared" si="19"/>
        <v>125</v>
      </c>
      <c r="I68" s="435">
        <f t="shared" si="20"/>
        <v>329</v>
      </c>
      <c r="K68" s="435">
        <f t="shared" si="21"/>
        <v>2193</v>
      </c>
      <c r="L68" s="435">
        <f t="shared" si="22"/>
        <v>92</v>
      </c>
      <c r="M68" s="435">
        <f t="shared" si="23"/>
        <v>286</v>
      </c>
      <c r="N68" s="435"/>
      <c r="O68" s="1014"/>
      <c r="R68" s="441" t="s">
        <v>10</v>
      </c>
      <c r="S68" s="434">
        <v>0</v>
      </c>
      <c r="T68" s="434">
        <v>0</v>
      </c>
      <c r="U68" s="434">
        <v>0</v>
      </c>
      <c r="V68" s="434">
        <f>'SCH data and adjusts'!B61</f>
        <v>0</v>
      </c>
      <c r="W68" s="434">
        <f>'SCH data and adjusts'!C61</f>
        <v>0</v>
      </c>
      <c r="X68" s="1519">
        <f>'SCH data and adjusts'!D61</f>
        <v>0</v>
      </c>
      <c r="Y68" s="985">
        <f>'SCH data and adjusts'!E61</f>
        <v>0</v>
      </c>
      <c r="Z68" s="435">
        <f>3*'What If Data'!E29</f>
        <v>0</v>
      </c>
    </row>
    <row r="69" spans="1:26">
      <c r="A69" s="441" t="s">
        <v>4</v>
      </c>
      <c r="B69" s="435">
        <f t="shared" si="15"/>
        <v>416828</v>
      </c>
      <c r="C69" s="435">
        <f t="shared" si="16"/>
        <v>67866</v>
      </c>
      <c r="D69" s="435">
        <f t="shared" si="17"/>
        <v>9958</v>
      </c>
      <c r="E69"/>
      <c r="F69" s="441" t="s">
        <v>4</v>
      </c>
      <c r="G69" s="435">
        <f t="shared" si="18"/>
        <v>404580</v>
      </c>
      <c r="H69" s="435">
        <f t="shared" si="19"/>
        <v>68573</v>
      </c>
      <c r="I69" s="435">
        <f t="shared" si="20"/>
        <v>10034</v>
      </c>
      <c r="K69" s="435">
        <f t="shared" si="21"/>
        <v>390670</v>
      </c>
      <c r="L69" s="435">
        <f t="shared" si="22"/>
        <v>66230</v>
      </c>
      <c r="M69" s="435">
        <f t="shared" si="23"/>
        <v>9952</v>
      </c>
      <c r="N69" s="435"/>
      <c r="O69" s="1014"/>
      <c r="R69" s="441" t="s">
        <v>4</v>
      </c>
      <c r="S69" s="435">
        <v>33970</v>
      </c>
      <c r="T69" s="435">
        <v>36004</v>
      </c>
      <c r="U69" s="435">
        <v>35327</v>
      </c>
      <c r="V69" s="435">
        <f>'SCH data and adjusts'!B62</f>
        <v>35958</v>
      </c>
      <c r="W69" s="435">
        <f>'SCH data and adjusts'!C62</f>
        <v>36156</v>
      </c>
      <c r="X69" s="1518">
        <f>'SCH data and adjusts'!D62</f>
        <v>36088</v>
      </c>
      <c r="Y69" s="985">
        <f>'SCH data and adjusts'!E62</f>
        <v>37868</v>
      </c>
      <c r="Z69" s="435">
        <f>3*'What If Data'!E30</f>
        <v>0</v>
      </c>
    </row>
    <row r="70" spans="1:26">
      <c r="A70" s="441" t="s">
        <v>14</v>
      </c>
      <c r="B70" s="435">
        <f t="shared" si="15"/>
        <v>0</v>
      </c>
      <c r="C70" s="435">
        <f t="shared" si="16"/>
        <v>189</v>
      </c>
      <c r="D70" s="435">
        <f t="shared" si="17"/>
        <v>2501</v>
      </c>
      <c r="E70"/>
      <c r="F70" s="441" t="s">
        <v>14</v>
      </c>
      <c r="G70" s="435">
        <f t="shared" si="18"/>
        <v>0</v>
      </c>
      <c r="H70" s="435">
        <f t="shared" si="19"/>
        <v>164</v>
      </c>
      <c r="I70" s="435">
        <f t="shared" si="20"/>
        <v>2568</v>
      </c>
      <c r="K70" s="435">
        <f t="shared" si="21"/>
        <v>0</v>
      </c>
      <c r="L70" s="435">
        <f t="shared" si="22"/>
        <v>150</v>
      </c>
      <c r="M70" s="435">
        <f t="shared" si="23"/>
        <v>2485</v>
      </c>
      <c r="N70" s="435"/>
      <c r="O70" s="1014"/>
      <c r="R70" s="441" t="s">
        <v>14</v>
      </c>
      <c r="S70" s="434">
        <v>0</v>
      </c>
      <c r="T70" s="434">
        <v>0</v>
      </c>
      <c r="U70" s="434">
        <v>0</v>
      </c>
      <c r="V70" s="434">
        <f>'SCH data and adjusts'!B63</f>
        <v>0</v>
      </c>
      <c r="W70" s="434">
        <f>'SCH data and adjusts'!C63</f>
        <v>0</v>
      </c>
      <c r="X70" s="1519">
        <f>'SCH data and adjusts'!D63</f>
        <v>0</v>
      </c>
      <c r="Y70" s="985">
        <f>'SCH data and adjusts'!E63</f>
        <v>0</v>
      </c>
      <c r="Z70" s="435">
        <f>3*'What If Data'!E31</f>
        <v>0</v>
      </c>
    </row>
    <row r="71" spans="1:26">
      <c r="A71" s="442" t="s">
        <v>17</v>
      </c>
      <c r="B71" s="435">
        <f t="shared" si="15"/>
        <v>360104</v>
      </c>
      <c r="C71" s="435">
        <f t="shared" si="16"/>
        <v>70474</v>
      </c>
      <c r="D71" s="435">
        <f t="shared" si="17"/>
        <v>7738</v>
      </c>
      <c r="E71"/>
      <c r="F71" s="442" t="s">
        <v>17</v>
      </c>
      <c r="G71" s="435">
        <f t="shared" si="18"/>
        <v>346163</v>
      </c>
      <c r="H71" s="435">
        <f t="shared" si="19"/>
        <v>67965</v>
      </c>
      <c r="I71" s="435">
        <f t="shared" si="20"/>
        <v>7129</v>
      </c>
      <c r="K71" s="435">
        <f t="shared" si="21"/>
        <v>324553</v>
      </c>
      <c r="L71" s="435">
        <f t="shared" si="22"/>
        <v>65031</v>
      </c>
      <c r="M71" s="435">
        <f t="shared" si="23"/>
        <v>6206</v>
      </c>
      <c r="N71" s="443"/>
      <c r="O71" s="1014"/>
      <c r="R71" s="442" t="s">
        <v>17</v>
      </c>
      <c r="S71" s="443">
        <v>40816</v>
      </c>
      <c r="T71" s="443">
        <v>39061</v>
      </c>
      <c r="U71" s="443">
        <v>40158</v>
      </c>
      <c r="V71" s="443">
        <f>'SCH data and adjusts'!B64</f>
        <v>38378</v>
      </c>
      <c r="W71" s="443">
        <f>'SCH data and adjusts'!C64</f>
        <v>40021</v>
      </c>
      <c r="X71" s="1521">
        <f>'SCH data and adjusts'!D64</f>
        <v>38413</v>
      </c>
      <c r="Y71" s="987">
        <f>'SCH data and adjusts'!E64</f>
        <v>38929</v>
      </c>
      <c r="Z71" s="435">
        <f>3*'What If Data'!E32</f>
        <v>0</v>
      </c>
    </row>
    <row r="72" spans="1:26">
      <c r="A72" s="441" t="s">
        <v>316</v>
      </c>
      <c r="B72" s="435">
        <f t="shared" si="15"/>
        <v>252</v>
      </c>
      <c r="C72" s="435">
        <f t="shared" si="16"/>
        <v>0</v>
      </c>
      <c r="D72" s="435">
        <f t="shared" si="17"/>
        <v>1732</v>
      </c>
      <c r="E72"/>
      <c r="F72" s="441" t="s">
        <v>316</v>
      </c>
      <c r="G72" s="435">
        <f t="shared" si="18"/>
        <v>252</v>
      </c>
      <c r="H72" s="435">
        <f t="shared" si="19"/>
        <v>0</v>
      </c>
      <c r="I72" s="435">
        <f t="shared" si="20"/>
        <v>2323</v>
      </c>
      <c r="K72" s="435">
        <f t="shared" si="21"/>
        <v>218</v>
      </c>
      <c r="L72" s="435">
        <f t="shared" si="22"/>
        <v>5</v>
      </c>
      <c r="M72" s="435">
        <f t="shared" si="23"/>
        <v>2532</v>
      </c>
      <c r="N72" s="435"/>
      <c r="O72" s="1014"/>
      <c r="R72" s="441" t="s">
        <v>316</v>
      </c>
      <c r="S72" s="434">
        <v>0</v>
      </c>
      <c r="T72" s="434">
        <v>0</v>
      </c>
      <c r="U72" s="434">
        <v>0</v>
      </c>
      <c r="V72" s="434">
        <f>'SCH data and adjusts'!B65</f>
        <v>0</v>
      </c>
      <c r="W72" s="434">
        <f>'SCH data and adjusts'!C65</f>
        <v>0</v>
      </c>
      <c r="X72" s="1519">
        <f>'SCH data and adjusts'!D65</f>
        <v>0</v>
      </c>
      <c r="Y72" s="985">
        <f>'SCH data and adjusts'!E65</f>
        <v>0</v>
      </c>
      <c r="Z72" s="435">
        <f>3*'What If Data'!E33</f>
        <v>0</v>
      </c>
    </row>
    <row r="73" spans="1:26">
      <c r="A73" s="441" t="s">
        <v>7</v>
      </c>
      <c r="B73" s="435">
        <f t="shared" si="15"/>
        <v>110274</v>
      </c>
      <c r="C73" s="435">
        <f t="shared" si="16"/>
        <v>9811</v>
      </c>
      <c r="D73" s="435">
        <f t="shared" si="17"/>
        <v>3098</v>
      </c>
      <c r="E73"/>
      <c r="F73" s="441" t="s">
        <v>7</v>
      </c>
      <c r="G73" s="435">
        <f t="shared" si="18"/>
        <v>112751</v>
      </c>
      <c r="H73" s="435">
        <f t="shared" si="19"/>
        <v>9670</v>
      </c>
      <c r="I73" s="435">
        <f t="shared" si="20"/>
        <v>3078</v>
      </c>
      <c r="K73" s="435">
        <f t="shared" si="21"/>
        <v>112607</v>
      </c>
      <c r="L73" s="435">
        <f t="shared" si="22"/>
        <v>9606</v>
      </c>
      <c r="M73" s="435">
        <f t="shared" si="23"/>
        <v>3165</v>
      </c>
      <c r="N73" s="435"/>
      <c r="O73" s="1014"/>
      <c r="R73" s="441" t="s">
        <v>7</v>
      </c>
      <c r="S73" s="435">
        <v>51009</v>
      </c>
      <c r="T73" s="435">
        <v>56576</v>
      </c>
      <c r="U73" s="435">
        <v>58986</v>
      </c>
      <c r="V73" s="435">
        <f>'SCH data and adjusts'!B66</f>
        <v>69318</v>
      </c>
      <c r="W73" s="435">
        <f>'SCH data and adjusts'!C66</f>
        <v>76670</v>
      </c>
      <c r="X73" s="1518">
        <f>'SCH data and adjusts'!D66</f>
        <v>79216</v>
      </c>
      <c r="Y73" s="985">
        <f>'SCH data and adjusts'!E66</f>
        <v>83969</v>
      </c>
      <c r="Z73" s="435">
        <f>3*'What If Data'!E34</f>
        <v>0</v>
      </c>
    </row>
    <row r="74" spans="1:26">
      <c r="A74" s="441" t="s">
        <v>514</v>
      </c>
      <c r="B74" s="435">
        <f t="shared" si="15"/>
        <v>79233</v>
      </c>
      <c r="C74" s="435">
        <f t="shared" si="16"/>
        <v>13124</v>
      </c>
      <c r="D74" s="435">
        <f t="shared" si="17"/>
        <v>1778</v>
      </c>
      <c r="E74"/>
      <c r="F74" s="441" t="s">
        <v>514</v>
      </c>
      <c r="G74" s="435">
        <f t="shared" si="18"/>
        <v>72219</v>
      </c>
      <c r="H74" s="435">
        <f t="shared" si="19"/>
        <v>11043</v>
      </c>
      <c r="I74" s="435">
        <f t="shared" si="20"/>
        <v>1314</v>
      </c>
      <c r="K74" s="435">
        <f>IF(K$7="no",X29+W29+Y29+X51+W51+Y51+Z29+Z51,0)</f>
        <v>66192</v>
      </c>
      <c r="L74" s="435">
        <f>IF(K$7="no",X95+W95+Y95+Z95,0)</f>
        <v>10145</v>
      </c>
      <c r="M74" s="435">
        <f>IF(K$7="no",Y144+W144+X144+Z144,0)</f>
        <v>1124</v>
      </c>
      <c r="N74" s="435"/>
      <c r="O74" s="1014"/>
      <c r="R74" s="441" t="s">
        <v>514</v>
      </c>
      <c r="S74" s="435">
        <v>15170</v>
      </c>
      <c r="T74" s="435">
        <v>24174</v>
      </c>
      <c r="U74" s="435">
        <v>31740</v>
      </c>
      <c r="V74" s="435">
        <f>'SCH data and adjusts'!B67</f>
        <v>32378</v>
      </c>
      <c r="W74" s="435">
        <f>'SCH data and adjusts'!C67</f>
        <v>28930</v>
      </c>
      <c r="X74" s="1518">
        <f>'SCH data and adjusts'!D67</f>
        <v>25250</v>
      </c>
      <c r="Y74" s="985">
        <f>'SCH data and adjusts'!E67</f>
        <v>21102</v>
      </c>
      <c r="Z74" s="435">
        <f>3*'What If Data'!E35</f>
        <v>0</v>
      </c>
    </row>
    <row r="75" spans="1:26">
      <c r="A75" s="442" t="s">
        <v>515</v>
      </c>
      <c r="B75" s="435">
        <f t="shared" si="15"/>
        <v>30817</v>
      </c>
      <c r="C75" s="435">
        <f t="shared" si="16"/>
        <v>16363</v>
      </c>
      <c r="D75" s="435">
        <f t="shared" si="17"/>
        <v>2839</v>
      </c>
      <c r="E75"/>
      <c r="F75" s="442" t="s">
        <v>515</v>
      </c>
      <c r="G75" s="435">
        <f t="shared" si="18"/>
        <v>28196</v>
      </c>
      <c r="H75" s="435">
        <f t="shared" si="19"/>
        <v>15177</v>
      </c>
      <c r="I75" s="435">
        <f t="shared" si="20"/>
        <v>3080</v>
      </c>
      <c r="K75" s="435">
        <f t="shared" si="21"/>
        <v>26106</v>
      </c>
      <c r="L75" s="435">
        <f t="shared" si="22"/>
        <v>12844</v>
      </c>
      <c r="M75" s="435">
        <f t="shared" si="23"/>
        <v>2982</v>
      </c>
      <c r="N75" s="443"/>
      <c r="O75" s="1014"/>
      <c r="R75" s="442" t="s">
        <v>515</v>
      </c>
      <c r="S75" s="443">
        <v>4009</v>
      </c>
      <c r="T75" s="443">
        <v>3691</v>
      </c>
      <c r="U75" s="443">
        <v>2833</v>
      </c>
      <c r="V75" s="443">
        <f>'SCH data and adjusts'!B68</f>
        <v>2891</v>
      </c>
      <c r="W75" s="443">
        <f>'SCH data and adjusts'!C68</f>
        <v>2693</v>
      </c>
      <c r="X75" s="1521">
        <f>'SCH data and adjusts'!D68</f>
        <v>3106</v>
      </c>
      <c r="Y75" s="987">
        <f>'SCH data and adjusts'!E68</f>
        <v>3935</v>
      </c>
      <c r="Z75" s="435">
        <f>3*'What If Data'!E36</f>
        <v>0</v>
      </c>
    </row>
    <row r="76" spans="1:26">
      <c r="A76" s="441"/>
      <c r="B76" s="435">
        <f t="shared" si="15"/>
        <v>0</v>
      </c>
      <c r="C76" s="435">
        <f t="shared" si="16"/>
        <v>0</v>
      </c>
      <c r="D76" s="435">
        <f t="shared" si="17"/>
        <v>0</v>
      </c>
      <c r="E76"/>
      <c r="F76" s="441"/>
      <c r="G76" s="435">
        <f t="shared" si="18"/>
        <v>0</v>
      </c>
      <c r="H76" s="435">
        <f t="shared" si="19"/>
        <v>0</v>
      </c>
      <c r="I76" s="435">
        <f t="shared" si="20"/>
        <v>0</v>
      </c>
      <c r="K76" s="435"/>
      <c r="L76" s="435"/>
      <c r="M76" s="435"/>
      <c r="N76" s="435"/>
      <c r="O76" s="462"/>
      <c r="R76" s="441"/>
      <c r="S76" s="434"/>
      <c r="T76" s="434"/>
      <c r="U76" s="434"/>
      <c r="V76" s="434"/>
      <c r="W76" s="434"/>
      <c r="X76" s="1519"/>
      <c r="Y76" s="986"/>
      <c r="Z76" s="434"/>
    </row>
    <row r="77" spans="1:26">
      <c r="A77" s="461" t="s">
        <v>516</v>
      </c>
      <c r="B77" s="435">
        <f t="shared" si="15"/>
        <v>3265</v>
      </c>
      <c r="C77" s="435">
        <f t="shared" si="16"/>
        <v>2538</v>
      </c>
      <c r="D77" s="435">
        <f t="shared" si="17"/>
        <v>0</v>
      </c>
      <c r="E77"/>
      <c r="F77" s="461" t="s">
        <v>516</v>
      </c>
      <c r="G77" s="435">
        <f t="shared" si="18"/>
        <v>3255</v>
      </c>
      <c r="H77" s="435">
        <f t="shared" si="19"/>
        <v>2878</v>
      </c>
      <c r="I77" s="435">
        <f t="shared" si="20"/>
        <v>0</v>
      </c>
      <c r="K77" s="435">
        <f>IF(K$7="no",X32+W32+Y32+X54+W54+Y54+Z32+Z54,0)</f>
        <v>3318</v>
      </c>
      <c r="L77" s="435">
        <f>IF(K$7="no",X98+W98+Y98+Z98,0)</f>
        <v>3048</v>
      </c>
      <c r="M77" s="435">
        <f>IF(K$7="no",Y147+W147+X147+Z147,0)</f>
        <v>0</v>
      </c>
      <c r="N77" s="435"/>
      <c r="O77" s="1014"/>
      <c r="R77" s="461" t="s">
        <v>516</v>
      </c>
      <c r="S77" s="434">
        <v>0</v>
      </c>
      <c r="T77" s="434">
        <v>0</v>
      </c>
      <c r="U77" s="434">
        <v>0</v>
      </c>
      <c r="V77" s="434">
        <f>'SCH data and adjusts'!B70</f>
        <v>0</v>
      </c>
      <c r="W77" s="434">
        <f>'SCH data and adjusts'!C70</f>
        <v>0</v>
      </c>
      <c r="X77" s="1519">
        <f>'SCH data and adjusts'!D70</f>
        <v>0</v>
      </c>
      <c r="Y77" s="985">
        <f>'SCH data and adjusts'!E70</f>
        <v>0</v>
      </c>
      <c r="Z77" s="434"/>
    </row>
    <row r="78" spans="1:26">
      <c r="A78" s="461" t="s">
        <v>537</v>
      </c>
      <c r="B78" s="435">
        <f t="shared" si="15"/>
        <v>253</v>
      </c>
      <c r="C78" s="435">
        <f t="shared" si="16"/>
        <v>379</v>
      </c>
      <c r="D78" s="435">
        <f t="shared" si="17"/>
        <v>3</v>
      </c>
      <c r="E78"/>
      <c r="F78" s="461" t="s">
        <v>537</v>
      </c>
      <c r="G78" s="435">
        <f t="shared" si="18"/>
        <v>282</v>
      </c>
      <c r="H78" s="435">
        <f t="shared" si="19"/>
        <v>413</v>
      </c>
      <c r="I78" s="435">
        <f t="shared" si="20"/>
        <v>0</v>
      </c>
      <c r="K78" s="435">
        <f>IF(K$7="no",X33+W33+Y33+X55+W55+Y55+Z33+Z55,0)</f>
        <v>331</v>
      </c>
      <c r="L78" s="435">
        <f>IF(K$7="no",X99+W99+Y99+Z99,0)</f>
        <v>253</v>
      </c>
      <c r="M78" s="435">
        <f>IF(K$7="no",Y148+W148+X148+Z148,0)</f>
        <v>0</v>
      </c>
      <c r="N78" s="435"/>
      <c r="O78" s="1014"/>
      <c r="R78" s="461" t="s">
        <v>537</v>
      </c>
      <c r="S78" s="434">
        <v>0</v>
      </c>
      <c r="T78" s="434">
        <v>0</v>
      </c>
      <c r="U78" s="434">
        <v>0</v>
      </c>
      <c r="V78" s="434">
        <f>'SCH data and adjusts'!B71</f>
        <v>0</v>
      </c>
      <c r="W78" s="434">
        <f>'SCH data and adjusts'!C71</f>
        <v>0</v>
      </c>
      <c r="X78" s="1519">
        <f>'SCH data and adjusts'!D71</f>
        <v>0</v>
      </c>
      <c r="Y78" s="985">
        <f>'SCH data and adjusts'!E71</f>
        <v>0</v>
      </c>
      <c r="Z78" s="434"/>
    </row>
    <row r="79" spans="1:26">
      <c r="A79" s="463" t="s">
        <v>518</v>
      </c>
      <c r="B79" s="435">
        <f t="shared" si="15"/>
        <v>3509</v>
      </c>
      <c r="C79" s="435">
        <f t="shared" si="16"/>
        <v>3429</v>
      </c>
      <c r="D79" s="435">
        <f t="shared" si="17"/>
        <v>18</v>
      </c>
      <c r="E79"/>
      <c r="F79" s="463" t="s">
        <v>518</v>
      </c>
      <c r="G79" s="435">
        <f t="shared" si="18"/>
        <v>0</v>
      </c>
      <c r="H79" s="435">
        <f t="shared" si="19"/>
        <v>2207</v>
      </c>
      <c r="I79" s="435">
        <f t="shared" si="20"/>
        <v>0</v>
      </c>
      <c r="K79" s="435">
        <f>IF(K$7="no",X34+W34+Y34+X56+W56+Y56+Z34+Z56,0)</f>
        <v>4</v>
      </c>
      <c r="L79" s="435">
        <f>IF(K$7="no",X100+W100+Y100+Z100,0)</f>
        <v>2256</v>
      </c>
      <c r="M79" s="435">
        <f>IF(K$7="no",Y149+W149+X149+Z149,0)</f>
        <v>0</v>
      </c>
      <c r="N79" s="443"/>
      <c r="O79" s="1014"/>
      <c r="R79" s="463" t="s">
        <v>518</v>
      </c>
      <c r="S79" s="444">
        <v>0</v>
      </c>
      <c r="T79" s="444">
        <v>0</v>
      </c>
      <c r="U79" s="444">
        <v>0</v>
      </c>
      <c r="V79" s="444">
        <f>'SCH data and adjusts'!B72</f>
        <v>0</v>
      </c>
      <c r="W79" s="444">
        <f>'SCH data and adjusts'!C72</f>
        <v>0</v>
      </c>
      <c r="X79" s="1522">
        <f>'SCH data and adjusts'!D72</f>
        <v>0</v>
      </c>
      <c r="Y79" s="987">
        <f>'SCH data and adjusts'!E72</f>
        <v>0</v>
      </c>
      <c r="Z79" s="435">
        <f>3*'What If Data'!E40</f>
        <v>0</v>
      </c>
    </row>
    <row r="80" spans="1:26">
      <c r="A80" s="461" t="s">
        <v>536</v>
      </c>
      <c r="B80" s="435">
        <f t="shared" si="15"/>
        <v>29884</v>
      </c>
      <c r="C80" s="435">
        <f t="shared" si="16"/>
        <v>247</v>
      </c>
      <c r="D80" s="435">
        <f t="shared" si="17"/>
        <v>0</v>
      </c>
      <c r="E80"/>
      <c r="F80" s="461" t="s">
        <v>536</v>
      </c>
      <c r="G80" s="435">
        <f t="shared" si="18"/>
        <v>28619</v>
      </c>
      <c r="H80" s="435">
        <f t="shared" si="19"/>
        <v>446</v>
      </c>
      <c r="I80" s="435">
        <f t="shared" si="20"/>
        <v>0</v>
      </c>
      <c r="K80" s="435">
        <f>IF(K$7="no",X35+W35+Y35+X57+W57+Y57+Z35+Z57,0)</f>
        <v>27166</v>
      </c>
      <c r="L80" s="435">
        <f>IF(K$7="no",X101+W101+Y101+Z101,0)</f>
        <v>572</v>
      </c>
      <c r="M80" s="435">
        <f>IF(K$7="no",Y150+W150+X150+Z150,0)</f>
        <v>0</v>
      </c>
      <c r="N80" s="435"/>
      <c r="O80" s="1014"/>
      <c r="R80" s="461" t="s">
        <v>536</v>
      </c>
      <c r="S80" s="434">
        <v>0</v>
      </c>
      <c r="T80" s="434">
        <v>0</v>
      </c>
      <c r="U80" s="434">
        <v>0</v>
      </c>
      <c r="V80" s="434">
        <f>'SCH data and adjusts'!B73</f>
        <v>0</v>
      </c>
      <c r="W80" s="434">
        <f>'SCH data and adjusts'!C73</f>
        <v>0</v>
      </c>
      <c r="X80" s="1519">
        <f>'SCH data and adjusts'!D73</f>
        <v>0</v>
      </c>
      <c r="Y80" s="985">
        <f>'SCH data and adjusts'!E73</f>
        <v>0</v>
      </c>
      <c r="Z80" s="434"/>
    </row>
    <row r="81" spans="1:26">
      <c r="A81" s="467" t="s">
        <v>520</v>
      </c>
      <c r="B81" s="435">
        <f t="shared" si="15"/>
        <v>394</v>
      </c>
      <c r="C81" s="435">
        <f t="shared" si="16"/>
        <v>1450</v>
      </c>
      <c r="D81" s="435">
        <f t="shared" si="17"/>
        <v>0</v>
      </c>
      <c r="E81"/>
      <c r="F81" s="467" t="s">
        <v>520</v>
      </c>
      <c r="G81" s="435">
        <f t="shared" si="18"/>
        <v>381</v>
      </c>
      <c r="H81" s="435">
        <f t="shared" si="19"/>
        <v>1482</v>
      </c>
      <c r="I81" s="435">
        <f t="shared" si="20"/>
        <v>0</v>
      </c>
      <c r="K81" s="435">
        <f>IF(K$7="no",X36+W36+Y36+X58+W58+Y58+Z36+Z58,0)</f>
        <v>338</v>
      </c>
      <c r="L81" s="435">
        <f>IF(K$7="no",X102+W102+Y102+Z102,0)</f>
        <v>1883</v>
      </c>
      <c r="M81" s="435">
        <f>IF(K$7="no",Y151+W151+X151+Z151,0)</f>
        <v>0</v>
      </c>
      <c r="N81" s="435"/>
      <c r="O81" s="1014"/>
      <c r="R81" s="467" t="s">
        <v>520</v>
      </c>
      <c r="S81" s="434">
        <v>0</v>
      </c>
      <c r="T81" s="434">
        <v>0</v>
      </c>
      <c r="U81" s="434">
        <v>0</v>
      </c>
      <c r="V81" s="434">
        <f>'SCH data and adjusts'!B74</f>
        <v>0</v>
      </c>
      <c r="W81" s="434">
        <f>'SCH data and adjusts'!C74</f>
        <v>0</v>
      </c>
      <c r="X81" s="1519">
        <f>'SCH data and adjusts'!D74</f>
        <v>0</v>
      </c>
      <c r="Y81" s="985">
        <f>'SCH data and adjusts'!E74</f>
        <v>0</v>
      </c>
      <c r="Z81" s="434"/>
    </row>
    <row r="82" spans="1:26">
      <c r="A82" s="446"/>
      <c r="B82" s="447">
        <f>SUM(B64:B81)</f>
        <v>1189246</v>
      </c>
      <c r="C82" s="447">
        <f>SUM(C64:C81)</f>
        <v>244675</v>
      </c>
      <c r="D82" s="447">
        <f>SUM(D64:D81)</f>
        <v>38544</v>
      </c>
      <c r="E82"/>
      <c r="F82" s="446"/>
      <c r="G82" s="447">
        <f>SUM(G64:G81)</f>
        <v>1158986</v>
      </c>
      <c r="H82" s="447">
        <f>SUM(H64:H81)</f>
        <v>235554</v>
      </c>
      <c r="I82" s="447">
        <f>SUM(I64:I81)</f>
        <v>36973</v>
      </c>
      <c r="K82" s="447">
        <f>SUM(K64:K81)</f>
        <v>1122295</v>
      </c>
      <c r="L82" s="447">
        <f>SUM(L64:L81)</f>
        <v>229657</v>
      </c>
      <c r="M82" s="447">
        <f>SUM(M64:M81)</f>
        <v>35383</v>
      </c>
      <c r="N82" s="438"/>
      <c r="O82" s="438"/>
      <c r="R82" s="446" t="s">
        <v>180</v>
      </c>
      <c r="S82" s="447">
        <v>207867</v>
      </c>
      <c r="T82" s="447">
        <v>225543</v>
      </c>
      <c r="U82" s="447">
        <v>231018</v>
      </c>
      <c r="V82" s="447">
        <f>SUM(V64:V81)</f>
        <v>243757</v>
      </c>
      <c r="W82" s="447">
        <f>SUM(W64:W81)</f>
        <v>251938</v>
      </c>
      <c r="X82" s="447">
        <f>SUM(X64:X81)</f>
        <v>249180</v>
      </c>
      <c r="Y82" s="989">
        <f>SUM(Y64:Y81)</f>
        <v>251032</v>
      </c>
      <c r="Z82" s="447"/>
    </row>
    <row r="83" spans="1:26" ht="25.5">
      <c r="B83" s="829">
        <f>B82/(B82+C82+D82)</f>
        <v>0.80765654871253312</v>
      </c>
      <c r="C83" s="829">
        <f>C82/(B82+C82+D82)</f>
        <v>0.16616693775403829</v>
      </c>
      <c r="D83" s="829">
        <f>D82/(B82+C82+D82)</f>
        <v>2.617651353342864E-2</v>
      </c>
      <c r="E83"/>
      <c r="G83" s="829">
        <f>G82/(G82+H82+I82)</f>
        <v>0.80962310506436197</v>
      </c>
      <c r="H83" s="829">
        <f>H82/(G82+H82+I82)</f>
        <v>0.16454897720104533</v>
      </c>
      <c r="I83" s="829">
        <f>I82/(G82+H82+I82)</f>
        <v>2.5827917734592701E-2</v>
      </c>
      <c r="K83" s="829">
        <f>K82/(K82+L82+M82)</f>
        <v>0.80895746160804705</v>
      </c>
      <c r="L83" s="829">
        <f>L82/(K82+L82+M82)</f>
        <v>0.16553824418759708</v>
      </c>
      <c r="M83" s="829">
        <f>M82/(K82+L82+M82)</f>
        <v>2.5504294204355835E-2</v>
      </c>
      <c r="N83"/>
      <c r="O83"/>
      <c r="R83" s="434"/>
      <c r="S83" s="433" t="s">
        <v>507</v>
      </c>
      <c r="T83" s="433" t="s">
        <v>508</v>
      </c>
      <c r="U83" s="433" t="s">
        <v>509</v>
      </c>
      <c r="V83" s="433">
        <v>2016</v>
      </c>
      <c r="W83" s="433">
        <v>2017</v>
      </c>
      <c r="X83" s="433">
        <v>2018</v>
      </c>
      <c r="Y83" s="433" t="s">
        <v>1648</v>
      </c>
      <c r="Z83" s="433"/>
    </row>
    <row r="84" spans="1:26">
      <c r="E84"/>
      <c r="F84" s="456" t="s">
        <v>969</v>
      </c>
      <c r="G84" s="456"/>
      <c r="H84" s="456"/>
      <c r="I84" s="456"/>
      <c r="J84" s="456"/>
      <c r="K84" s="456"/>
      <c r="L84" s="456"/>
      <c r="M84" s="456"/>
      <c r="N84" s="456"/>
      <c r="O84" s="456"/>
      <c r="R84" s="1414" t="s">
        <v>523</v>
      </c>
      <c r="S84" s="1082"/>
      <c r="T84" s="1082"/>
      <c r="U84" s="1082"/>
      <c r="V84" s="1082"/>
      <c r="W84" s="1082"/>
      <c r="X84" s="1082"/>
      <c r="Y84" s="1082"/>
      <c r="Z84" s="1082"/>
    </row>
    <row r="85" spans="1:26" ht="26.25" thickBot="1">
      <c r="B85" t="s">
        <v>945</v>
      </c>
      <c r="D85" s="1239" t="str">
        <f>D13</f>
        <v>yes</v>
      </c>
      <c r="E85"/>
      <c r="F85" s="214"/>
      <c r="G85" s="457"/>
      <c r="H85" s="457"/>
      <c r="I85" s="457"/>
      <c r="J85" s="214"/>
      <c r="K85" s="457" t="s">
        <v>1240</v>
      </c>
      <c r="L85" s="457" t="s">
        <v>1242</v>
      </c>
      <c r="M85" s="457" t="s">
        <v>1241</v>
      </c>
      <c r="N85" s="457"/>
      <c r="O85" s="457"/>
      <c r="R85" s="441" t="s">
        <v>513</v>
      </c>
      <c r="S85" s="435">
        <v>6772</v>
      </c>
      <c r="T85" s="435">
        <v>7125</v>
      </c>
      <c r="U85" s="435">
        <v>7976</v>
      </c>
      <c r="V85" s="435">
        <f>'SCH data and adjusts'!B78</f>
        <v>8190</v>
      </c>
      <c r="W85" s="435">
        <f>'SCH data and adjusts'!C78</f>
        <v>8196</v>
      </c>
      <c r="X85" s="1518">
        <f>'SCH data and adjusts'!D78</f>
        <v>7990</v>
      </c>
      <c r="Y85" s="985">
        <f>'SCH data and adjusts'!E78</f>
        <v>7985</v>
      </c>
      <c r="Z85" s="435">
        <f>3*'What If Data'!D25</f>
        <v>0</v>
      </c>
    </row>
    <row r="86" spans="1:26">
      <c r="A86" s="263"/>
      <c r="B86" s="390"/>
      <c r="C86" s="390"/>
      <c r="D86" s="1061"/>
      <c r="E86"/>
      <c r="F86" s="441" t="s">
        <v>513</v>
      </c>
      <c r="G86" s="435"/>
      <c r="H86" s="435"/>
      <c r="I86" s="435"/>
      <c r="K86" s="435">
        <f t="shared" ref="K86:M95" si="24">(K41/($K41+$L41+$M41))*$D19</f>
        <v>2303364.3303498514</v>
      </c>
      <c r="L86" s="435">
        <f t="shared" si="24"/>
        <v>1541734.9673388915</v>
      </c>
      <c r="M86" s="435">
        <f t="shared" si="24"/>
        <v>318447.18317971705</v>
      </c>
      <c r="N86" s="435"/>
      <c r="O86" s="1014"/>
      <c r="R86" s="441" t="s">
        <v>6</v>
      </c>
      <c r="S86" s="435">
        <v>12368</v>
      </c>
      <c r="T86" s="435">
        <v>9661</v>
      </c>
      <c r="U86" s="435">
        <v>10491</v>
      </c>
      <c r="V86" s="435">
        <f>'SCH data and adjusts'!B79</f>
        <v>5106</v>
      </c>
      <c r="W86" s="435">
        <f>'SCH data and adjusts'!C79</f>
        <v>5581</v>
      </c>
      <c r="X86" s="1518">
        <f>'SCH data and adjusts'!D79</f>
        <v>5645</v>
      </c>
      <c r="Y86" s="985">
        <f>'SCH data and adjusts'!E79</f>
        <v>6778</v>
      </c>
      <c r="Z86" s="435">
        <f>3*'What If Data'!D26</f>
        <v>0</v>
      </c>
    </row>
    <row r="87" spans="1:26">
      <c r="A87" s="265" t="s">
        <v>863</v>
      </c>
      <c r="B87" s="1062"/>
      <c r="C87" s="1062"/>
      <c r="D87" s="1062">
        <f>D37/SUM(K59:M59)</f>
        <v>62.718281675172378</v>
      </c>
      <c r="E87"/>
      <c r="F87" s="441" t="s">
        <v>6</v>
      </c>
      <c r="G87" s="435"/>
      <c r="H87" s="435"/>
      <c r="I87" s="435"/>
      <c r="K87" s="435">
        <f t="shared" si="24"/>
        <v>4280455.9293605303</v>
      </c>
      <c r="L87" s="435">
        <f t="shared" si="24"/>
        <v>1148376.0023155599</v>
      </c>
      <c r="M87" s="435">
        <f t="shared" si="24"/>
        <v>201246.28283270253</v>
      </c>
      <c r="N87" s="435"/>
      <c r="O87" s="1014"/>
      <c r="R87" s="441" t="s">
        <v>8</v>
      </c>
      <c r="S87" s="435">
        <v>2892</v>
      </c>
      <c r="T87" s="435">
        <v>3338</v>
      </c>
      <c r="U87" s="435">
        <v>2512</v>
      </c>
      <c r="V87" s="435">
        <f>'SCH data and adjusts'!B80</f>
        <v>2988</v>
      </c>
      <c r="W87" s="435">
        <f>'SCH data and adjusts'!C80</f>
        <v>4292</v>
      </c>
      <c r="X87" s="1518">
        <f>'SCH data and adjusts'!D80</f>
        <v>3993</v>
      </c>
      <c r="Y87" s="985">
        <f>'SCH data and adjusts'!E80</f>
        <v>3745</v>
      </c>
      <c r="Z87" s="435">
        <f>3*'What If Data'!D27</f>
        <v>0</v>
      </c>
    </row>
    <row r="88" spans="1:26">
      <c r="A88" s="265"/>
      <c r="B88" s="57"/>
      <c r="C88" s="57"/>
      <c r="D88" s="392"/>
      <c r="E88"/>
      <c r="F88" s="441" t="s">
        <v>8</v>
      </c>
      <c r="G88" s="435"/>
      <c r="H88" s="435"/>
      <c r="I88" s="435"/>
      <c r="K88" s="435">
        <f t="shared" si="24"/>
        <v>396223.05807430972</v>
      </c>
      <c r="L88" s="435">
        <f t="shared" si="24"/>
        <v>767327.44433771295</v>
      </c>
      <c r="M88" s="435">
        <f t="shared" si="24"/>
        <v>98952.51454736969</v>
      </c>
      <c r="N88" s="435"/>
      <c r="O88" s="1014"/>
      <c r="R88" s="442" t="s">
        <v>2</v>
      </c>
      <c r="S88" s="443">
        <v>1306</v>
      </c>
      <c r="T88" s="443">
        <v>1257</v>
      </c>
      <c r="U88" s="443">
        <v>1144</v>
      </c>
      <c r="V88" s="443">
        <f>'SCH data and adjusts'!B81</f>
        <v>1098</v>
      </c>
      <c r="W88" s="443">
        <f>'SCH data and adjusts'!C81</f>
        <v>1099</v>
      </c>
      <c r="X88" s="1521">
        <f>'SCH data and adjusts'!D81</f>
        <v>1233</v>
      </c>
      <c r="Y88" s="987">
        <f>'SCH data and adjusts'!E81</f>
        <v>1005</v>
      </c>
      <c r="Z88" s="435">
        <f>3*'What If Data'!D28</f>
        <v>0</v>
      </c>
    </row>
    <row r="89" spans="1:26">
      <c r="A89" s="265" t="s">
        <v>864</v>
      </c>
      <c r="B89" s="1415"/>
      <c r="C89" s="1415"/>
      <c r="D89" s="1416">
        <f>49*Y16</f>
        <v>608090</v>
      </c>
      <c r="E89"/>
      <c r="F89" s="442" t="s">
        <v>2</v>
      </c>
      <c r="G89" s="443"/>
      <c r="H89" s="443"/>
      <c r="I89" s="443"/>
      <c r="K89" s="435">
        <f t="shared" si="24"/>
        <v>474795.5805827406</v>
      </c>
      <c r="L89" s="435">
        <f t="shared" si="24"/>
        <v>212848.85135120101</v>
      </c>
      <c r="M89" s="435">
        <f t="shared" si="24"/>
        <v>236072.42756301054</v>
      </c>
      <c r="N89" s="435"/>
      <c r="O89" s="1014"/>
      <c r="R89" s="441" t="s">
        <v>10</v>
      </c>
      <c r="S89" s="434">
        <v>41</v>
      </c>
      <c r="T89" s="434">
        <v>62</v>
      </c>
      <c r="U89" s="434">
        <v>42</v>
      </c>
      <c r="V89" s="435">
        <f>'SCH data and adjusts'!B82</f>
        <v>53</v>
      </c>
      <c r="W89" s="435">
        <f>'SCH data and adjusts'!C82</f>
        <v>37</v>
      </c>
      <c r="X89" s="1518">
        <f>'SCH data and adjusts'!D82</f>
        <v>35</v>
      </c>
      <c r="Y89" s="985">
        <f>'SCH data and adjusts'!E82</f>
        <v>20</v>
      </c>
      <c r="Z89" s="435">
        <f>3*'What If Data'!D29</f>
        <v>0</v>
      </c>
    </row>
    <row r="90" spans="1:26">
      <c r="A90" s="265" t="s">
        <v>865</v>
      </c>
      <c r="B90" s="1416"/>
      <c r="C90" s="1416"/>
      <c r="D90" s="1416">
        <f>D89/D87</f>
        <v>9695.5781274332676</v>
      </c>
      <c r="E90"/>
      <c r="F90" s="441" t="s">
        <v>10</v>
      </c>
      <c r="G90" s="435"/>
      <c r="H90" s="435"/>
      <c r="I90" s="435"/>
      <c r="K90" s="435">
        <f t="shared" si="24"/>
        <v>96966.540158125368</v>
      </c>
      <c r="L90" s="435">
        <f t="shared" si="24"/>
        <v>5868.1733066558281</v>
      </c>
      <c r="M90" s="435">
        <f t="shared" si="24"/>
        <v>36753.791117594468</v>
      </c>
      <c r="N90" s="435"/>
      <c r="O90" s="1014"/>
      <c r="R90" s="441" t="s">
        <v>4</v>
      </c>
      <c r="S90" s="435">
        <v>27765</v>
      </c>
      <c r="T90" s="435">
        <v>27601</v>
      </c>
      <c r="U90" s="435">
        <v>21760</v>
      </c>
      <c r="V90" s="435">
        <f>'SCH data and adjusts'!B83</f>
        <v>23113</v>
      </c>
      <c r="W90" s="435">
        <f>'SCH data and adjusts'!C83</f>
        <v>22993</v>
      </c>
      <c r="X90" s="1518">
        <f>'SCH data and adjusts'!D83</f>
        <v>22467</v>
      </c>
      <c r="Y90" s="985">
        <f>'SCH data and adjusts'!E83</f>
        <v>20770</v>
      </c>
      <c r="Z90" s="435">
        <f>3*'What If Data'!D30</f>
        <v>0</v>
      </c>
    </row>
    <row r="91" spans="1:26">
      <c r="A91" s="265" t="s">
        <v>866</v>
      </c>
      <c r="B91" s="1063"/>
      <c r="C91" s="1063"/>
      <c r="D91" s="1063">
        <v>0.65</v>
      </c>
      <c r="E91"/>
      <c r="F91" s="441" t="s">
        <v>4</v>
      </c>
      <c r="G91" s="435"/>
      <c r="H91" s="435"/>
      <c r="I91" s="435"/>
      <c r="K91" s="435">
        <f t="shared" si="24"/>
        <v>17274016.526937909</v>
      </c>
      <c r="L91" s="435">
        <f t="shared" si="24"/>
        <v>4224446.9358675592</v>
      </c>
      <c r="M91" s="435">
        <f t="shared" si="24"/>
        <v>1278929.1230849654</v>
      </c>
      <c r="N91" s="435"/>
      <c r="O91" s="1014"/>
      <c r="R91" s="441" t="s">
        <v>14</v>
      </c>
      <c r="S91" s="434">
        <v>60</v>
      </c>
      <c r="T91" s="434">
        <v>62</v>
      </c>
      <c r="U91" s="434">
        <v>33</v>
      </c>
      <c r="V91" s="435">
        <f>'SCH data and adjusts'!B84</f>
        <v>30</v>
      </c>
      <c r="W91" s="435">
        <f>'SCH data and adjusts'!C84</f>
        <v>126</v>
      </c>
      <c r="X91" s="1518">
        <f>'SCH data and adjusts'!D84</f>
        <v>8</v>
      </c>
      <c r="Y91" s="985">
        <f>'SCH data and adjusts'!E84</f>
        <v>16</v>
      </c>
      <c r="Z91" s="435">
        <f>3*'What If Data'!D31</f>
        <v>0</v>
      </c>
    </row>
    <row r="92" spans="1:26">
      <c r="A92" s="265"/>
      <c r="B92" s="57"/>
      <c r="C92" s="57"/>
      <c r="D92" s="392"/>
      <c r="E92"/>
      <c r="F92" s="441" t="s">
        <v>14</v>
      </c>
      <c r="G92" s="435"/>
      <c r="H92" s="435"/>
      <c r="I92" s="435"/>
      <c r="K92" s="435">
        <f t="shared" si="24"/>
        <v>0</v>
      </c>
      <c r="L92" s="435">
        <f t="shared" si="24"/>
        <v>9567.6738695475433</v>
      </c>
      <c r="M92" s="435">
        <f t="shared" si="24"/>
        <v>319346.75149378402</v>
      </c>
      <c r="N92" s="435"/>
      <c r="O92" s="1014"/>
      <c r="R92" s="442" t="s">
        <v>17</v>
      </c>
      <c r="S92" s="443">
        <v>22630</v>
      </c>
      <c r="T92" s="443">
        <v>22763</v>
      </c>
      <c r="U92" s="443">
        <v>23560</v>
      </c>
      <c r="V92" s="443">
        <f>'SCH data and adjusts'!B85</f>
        <v>23705</v>
      </c>
      <c r="W92" s="443">
        <f>'SCH data and adjusts'!C85</f>
        <v>23209</v>
      </c>
      <c r="X92" s="1521">
        <f>'SCH data and adjusts'!D85</f>
        <v>21051</v>
      </c>
      <c r="Y92" s="987">
        <f>'SCH data and adjusts'!E85</f>
        <v>20771</v>
      </c>
      <c r="Z92" s="435">
        <f>3*'What If Data'!D32</f>
        <v>0</v>
      </c>
    </row>
    <row r="93" spans="1:26">
      <c r="A93" s="265"/>
      <c r="B93" s="57"/>
      <c r="C93" s="57"/>
      <c r="D93" s="1065"/>
      <c r="E93"/>
      <c r="F93" s="442" t="s">
        <v>17</v>
      </c>
      <c r="G93" s="443"/>
      <c r="H93" s="443"/>
      <c r="I93" s="443"/>
      <c r="K93" s="435">
        <f t="shared" si="24"/>
        <v>14350561.563128162</v>
      </c>
      <c r="L93" s="435">
        <f t="shared" si="24"/>
        <v>4147969.3294036421</v>
      </c>
      <c r="M93" s="435">
        <f t="shared" si="24"/>
        <v>797531.56529996928</v>
      </c>
      <c r="N93" s="435"/>
      <c r="O93" s="1014"/>
      <c r="R93" s="441" t="s">
        <v>316</v>
      </c>
      <c r="S93" s="434">
        <v>2</v>
      </c>
      <c r="T93" s="434">
        <v>10</v>
      </c>
      <c r="U93" s="434">
        <v>0</v>
      </c>
      <c r="V93" s="435">
        <f>'SCH data and adjusts'!B86</f>
        <v>0</v>
      </c>
      <c r="W93" s="435">
        <f>'SCH data and adjusts'!C86</f>
        <v>0</v>
      </c>
      <c r="X93" s="1518">
        <f>'SCH data and adjusts'!D86</f>
        <v>0</v>
      </c>
      <c r="Y93" s="985">
        <f>'SCH data and adjusts'!E86</f>
        <v>5</v>
      </c>
      <c r="Z93" s="435">
        <f>3*'What If Data'!D33</f>
        <v>0</v>
      </c>
    </row>
    <row r="94" spans="1:26">
      <c r="A94" s="265"/>
      <c r="B94" s="57"/>
      <c r="C94" s="57"/>
      <c r="D94" s="392"/>
      <c r="E94"/>
      <c r="F94" s="441" t="s">
        <v>316</v>
      </c>
      <c r="G94" s="435"/>
      <c r="H94" s="435"/>
      <c r="I94" s="435"/>
      <c r="K94" s="435">
        <f t="shared" si="24"/>
        <v>9639.1727106572416</v>
      </c>
      <c r="L94" s="435">
        <f t="shared" si="24"/>
        <v>318.92246231825146</v>
      </c>
      <c r="M94" s="435">
        <f t="shared" si="24"/>
        <v>325386.71017394814</v>
      </c>
      <c r="N94" s="435"/>
      <c r="O94" s="1014"/>
      <c r="R94" s="441" t="s">
        <v>7</v>
      </c>
      <c r="S94" s="435">
        <v>3898</v>
      </c>
      <c r="T94" s="435">
        <v>4034</v>
      </c>
      <c r="U94" s="435">
        <v>4106</v>
      </c>
      <c r="V94" s="435">
        <f>'SCH data and adjusts'!B87</f>
        <v>2838</v>
      </c>
      <c r="W94" s="435">
        <f>'SCH data and adjusts'!C87</f>
        <v>2867</v>
      </c>
      <c r="X94" s="1518">
        <f>'SCH data and adjusts'!D87</f>
        <v>3965</v>
      </c>
      <c r="Y94" s="985">
        <f>'SCH data and adjusts'!E87</f>
        <v>2774</v>
      </c>
      <c r="Z94" s="435">
        <f>3*'What If Data'!D34</f>
        <v>0</v>
      </c>
    </row>
    <row r="95" spans="1:26">
      <c r="A95" s="265" t="s">
        <v>946</v>
      </c>
      <c r="B95" s="510"/>
      <c r="C95" s="510"/>
      <c r="D95" s="1064">
        <v>5556868</v>
      </c>
      <c r="E95"/>
      <c r="F95" s="441" t="s">
        <v>7</v>
      </c>
      <c r="G95" s="435"/>
      <c r="H95" s="435"/>
      <c r="I95" s="435"/>
      <c r="K95" s="435">
        <f t="shared" si="24"/>
        <v>4979074.8689402752</v>
      </c>
      <c r="L95" s="435">
        <f t="shared" si="24"/>
        <v>612713.83460582478</v>
      </c>
      <c r="M95" s="435">
        <f t="shared" si="24"/>
        <v>406733.38771743525</v>
      </c>
      <c r="N95" s="435"/>
      <c r="O95" s="1014"/>
      <c r="R95" s="441" t="s">
        <v>514</v>
      </c>
      <c r="S95" s="435">
        <v>23832</v>
      </c>
      <c r="T95" s="435">
        <v>12227</v>
      </c>
      <c r="U95" s="435">
        <v>5027</v>
      </c>
      <c r="V95" s="435">
        <f>'SCH data and adjusts'!B88</f>
        <v>4132</v>
      </c>
      <c r="W95" s="435">
        <f>'SCH data and adjusts'!C88</f>
        <v>3965</v>
      </c>
      <c r="X95" s="1518">
        <f>'SCH data and adjusts'!D88</f>
        <v>2946</v>
      </c>
      <c r="Y95" s="985">
        <f>'SCH data and adjusts'!E88</f>
        <v>3234</v>
      </c>
      <c r="Z95" s="435">
        <f>3*'What If Data'!D35</f>
        <v>0</v>
      </c>
    </row>
    <row r="96" spans="1:26">
      <c r="A96" s="265" t="s">
        <v>947</v>
      </c>
      <c r="B96" s="1064"/>
      <c r="C96" s="1064"/>
      <c r="D96" s="1064">
        <f>D29</f>
        <v>4940074.9793601893</v>
      </c>
      <c r="E96"/>
      <c r="F96" s="441" t="s">
        <v>514</v>
      </c>
      <c r="G96" s="435"/>
      <c r="H96" s="435"/>
      <c r="I96" s="435"/>
      <c r="K96" s="435">
        <f>((K51+K53)/($K51+$L51+$M51+K53))*$D29</f>
        <v>4148536.3340291278</v>
      </c>
      <c r="L96" s="435">
        <f>((L51+L53)/($K51+$L51+$M51+K53))*$D29</f>
        <v>647093.67604373221</v>
      </c>
      <c r="M96" s="435">
        <f>((M51+M53)/($K51+$L51+$M51+K53))*$D29</f>
        <v>144444.9692873293</v>
      </c>
      <c r="N96" s="435"/>
      <c r="O96" s="1014"/>
      <c r="R96" s="442" t="s">
        <v>515</v>
      </c>
      <c r="S96" s="443">
        <v>5673</v>
      </c>
      <c r="T96" s="443">
        <v>6583</v>
      </c>
      <c r="U96" s="443">
        <v>5768</v>
      </c>
      <c r="V96" s="443">
        <f>'SCH data and adjusts'!B89</f>
        <v>5938</v>
      </c>
      <c r="W96" s="443">
        <f>'SCH data and adjusts'!C89</f>
        <v>4657</v>
      </c>
      <c r="X96" s="1521">
        <f>'SCH data and adjusts'!D89</f>
        <v>4582</v>
      </c>
      <c r="Y96" s="987">
        <f>'SCH data and adjusts'!E89</f>
        <v>3605</v>
      </c>
      <c r="Z96" s="435">
        <f>3*'What If Data'!D36</f>
        <v>0</v>
      </c>
    </row>
    <row r="97" spans="1:26">
      <c r="A97" s="265" t="s">
        <v>573</v>
      </c>
      <c r="B97" s="57"/>
      <c r="C97" s="57"/>
      <c r="D97" s="1064">
        <f>D95-D96</f>
        <v>616793.02063981071</v>
      </c>
      <c r="E97"/>
      <c r="F97" s="442" t="s">
        <v>515</v>
      </c>
      <c r="G97" s="443"/>
      <c r="H97" s="443"/>
      <c r="I97" s="443"/>
      <c r="K97" s="435">
        <f t="shared" ref="K97:M102" si="25">(K52/($K52+$L52+$M52))*$D30</f>
        <v>1154313.0402954952</v>
      </c>
      <c r="L97" s="435">
        <f t="shared" si="25"/>
        <v>819248.02120312443</v>
      </c>
      <c r="M97" s="435">
        <f t="shared" si="25"/>
        <v>383216.10179254087</v>
      </c>
      <c r="N97" s="435"/>
      <c r="O97" s="1014"/>
      <c r="R97" s="441"/>
      <c r="S97" s="434"/>
      <c r="T97" s="434"/>
      <c r="U97" s="434"/>
      <c r="V97" s="434"/>
      <c r="W97" s="434"/>
      <c r="X97" s="1519"/>
      <c r="Y97" s="986"/>
      <c r="Z97" s="434"/>
    </row>
    <row r="98" spans="1:26">
      <c r="A98" s="265"/>
      <c r="B98" s="57"/>
      <c r="C98" s="57"/>
      <c r="D98" s="1064"/>
      <c r="E98"/>
      <c r="F98" s="441"/>
      <c r="G98" s="435"/>
      <c r="H98" s="435"/>
      <c r="I98" s="435"/>
      <c r="K98" s="435">
        <f t="shared" si="25"/>
        <v>0</v>
      </c>
      <c r="L98" s="435">
        <f t="shared" si="25"/>
        <v>0</v>
      </c>
      <c r="M98" s="435">
        <f t="shared" si="25"/>
        <v>0</v>
      </c>
      <c r="N98" s="435"/>
      <c r="O98" s="462"/>
      <c r="R98" s="461" t="s">
        <v>516</v>
      </c>
      <c r="S98" s="434">
        <v>1261</v>
      </c>
      <c r="T98" s="434">
        <v>901</v>
      </c>
      <c r="U98" s="434">
        <v>818</v>
      </c>
      <c r="V98" s="435">
        <f>'SCH data and adjusts'!B91</f>
        <v>852</v>
      </c>
      <c r="W98" s="435">
        <f>'SCH data and adjusts'!C91</f>
        <v>868</v>
      </c>
      <c r="X98" s="1518">
        <f>'SCH data and adjusts'!D91</f>
        <v>1158</v>
      </c>
      <c r="Y98" s="985">
        <f>'SCH data and adjusts'!E91</f>
        <v>1022</v>
      </c>
      <c r="Z98" s="435"/>
    </row>
    <row r="99" spans="1:26">
      <c r="A99" s="265"/>
      <c r="B99" s="57"/>
      <c r="C99" s="57"/>
      <c r="D99" s="1064"/>
      <c r="E99"/>
      <c r="F99" s="461" t="s">
        <v>516</v>
      </c>
      <c r="G99" s="435"/>
      <c r="H99" s="435"/>
      <c r="I99" s="435"/>
      <c r="K99" s="435">
        <f t="shared" si="25"/>
        <v>146709.97731174642</v>
      </c>
      <c r="L99" s="435">
        <f t="shared" si="25"/>
        <v>194415.13302920604</v>
      </c>
      <c r="M99" s="435">
        <f t="shared" si="25"/>
        <v>0</v>
      </c>
      <c r="N99" s="435"/>
      <c r="O99" s="1014"/>
      <c r="R99" s="461" t="s">
        <v>537</v>
      </c>
      <c r="S99" s="434">
        <v>847</v>
      </c>
      <c r="T99" s="434">
        <v>423</v>
      </c>
      <c r="U99" s="434">
        <v>53</v>
      </c>
      <c r="V99" s="435">
        <f>'SCH data and adjusts'!B92</f>
        <v>209</v>
      </c>
      <c r="W99" s="435">
        <f>'SCH data and adjusts'!C92</f>
        <v>117</v>
      </c>
      <c r="X99" s="1518">
        <f>'SCH data and adjusts'!D92</f>
        <v>87</v>
      </c>
      <c r="Y99" s="985">
        <f>'SCH data and adjusts'!E92</f>
        <v>49</v>
      </c>
      <c r="Z99" s="435"/>
    </row>
    <row r="100" spans="1:26">
      <c r="A100" s="265"/>
      <c r="B100" s="57"/>
      <c r="C100" s="57"/>
      <c r="D100" s="1064">
        <f>SUM(T16,U16,V16)</f>
        <v>52473</v>
      </c>
      <c r="E100"/>
      <c r="F100" s="461" t="s">
        <v>537</v>
      </c>
      <c r="G100" s="435"/>
      <c r="H100" s="435"/>
      <c r="I100" s="435"/>
      <c r="K100" s="435">
        <f t="shared" si="25"/>
        <v>14635.624620309849</v>
      </c>
      <c r="L100" s="435">
        <f t="shared" si="25"/>
        <v>16137.476593303527</v>
      </c>
      <c r="M100" s="435">
        <f t="shared" si="25"/>
        <v>0</v>
      </c>
      <c r="N100" s="435"/>
      <c r="O100" s="1014"/>
      <c r="R100" s="463" t="s">
        <v>518</v>
      </c>
      <c r="S100" s="444">
        <v>1380</v>
      </c>
      <c r="T100" s="444">
        <v>1742</v>
      </c>
      <c r="U100" s="444">
        <v>1988</v>
      </c>
      <c r="V100" s="443">
        <f>'SCH data and adjusts'!B93</f>
        <v>680</v>
      </c>
      <c r="W100" s="443">
        <f>'SCH data and adjusts'!C93</f>
        <v>761</v>
      </c>
      <c r="X100" s="1521">
        <f>'SCH data and adjusts'!D93</f>
        <v>766</v>
      </c>
      <c r="Y100" s="987">
        <f>'SCH data and adjusts'!E93</f>
        <v>729</v>
      </c>
      <c r="Z100" s="435">
        <f>3*'What If Data'!D40</f>
        <v>0</v>
      </c>
    </row>
    <row r="101" spans="1:26" ht="16.5" thickBot="1">
      <c r="A101" s="395"/>
      <c r="B101" s="396"/>
      <c r="C101" s="396"/>
      <c r="D101" s="397">
        <f>D100*0.705</f>
        <v>36993.464999999997</v>
      </c>
      <c r="E101"/>
      <c r="F101" s="463" t="s">
        <v>518</v>
      </c>
      <c r="G101" s="443"/>
      <c r="H101" s="443"/>
      <c r="I101" s="443"/>
      <c r="K101" s="435">
        <f t="shared" si="25"/>
        <v>176.86555432398609</v>
      </c>
      <c r="L101" s="435">
        <f t="shared" si="25"/>
        <v>143897.81499799507</v>
      </c>
      <c r="M101" s="435">
        <f t="shared" si="25"/>
        <v>0</v>
      </c>
      <c r="N101" s="435"/>
      <c r="O101" s="1014"/>
      <c r="R101" s="461" t="s">
        <v>536</v>
      </c>
      <c r="S101" s="434"/>
      <c r="T101" s="434"/>
      <c r="U101" s="434"/>
      <c r="V101" s="434">
        <f>'SCH data and adjusts'!B94</f>
        <v>94</v>
      </c>
      <c r="W101" s="434">
        <f>'SCH data and adjusts'!C94</f>
        <v>153</v>
      </c>
      <c r="X101" s="1519">
        <f>'SCH data and adjusts'!D94</f>
        <v>199</v>
      </c>
      <c r="Y101" s="985">
        <f>'SCH data and adjusts'!E94</f>
        <v>220</v>
      </c>
      <c r="Z101" s="434"/>
    </row>
    <row r="102" spans="1:26">
      <c r="E102"/>
      <c r="F102" s="461" t="s">
        <v>536</v>
      </c>
      <c r="G102" s="435"/>
      <c r="H102" s="435"/>
      <c r="I102" s="435"/>
      <c r="K102" s="435">
        <f t="shared" si="25"/>
        <v>1201182.4121913514</v>
      </c>
      <c r="L102" s="435">
        <f t="shared" si="25"/>
        <v>36484.729689207968</v>
      </c>
      <c r="M102" s="435">
        <f t="shared" si="25"/>
        <v>0</v>
      </c>
      <c r="N102" s="435"/>
      <c r="O102" s="1014"/>
      <c r="R102" s="467" t="s">
        <v>520</v>
      </c>
      <c r="S102" s="434">
        <v>3278</v>
      </c>
      <c r="T102" s="434">
        <v>2416</v>
      </c>
      <c r="U102" s="434">
        <v>463</v>
      </c>
      <c r="V102" s="435">
        <f>'SCH data and adjusts'!B95</f>
        <v>480</v>
      </c>
      <c r="W102" s="435">
        <f>'SCH data and adjusts'!C95</f>
        <v>507</v>
      </c>
      <c r="X102" s="1518">
        <f>'SCH data and adjusts'!D95</f>
        <v>495</v>
      </c>
      <c r="Y102" s="985">
        <f>'SCH data and adjusts'!E95</f>
        <v>881</v>
      </c>
      <c r="Z102" s="435"/>
    </row>
    <row r="103" spans="1:26">
      <c r="E103"/>
      <c r="F103" s="467" t="s">
        <v>520</v>
      </c>
      <c r="G103" s="435"/>
      <c r="H103" s="435"/>
      <c r="I103" s="435"/>
      <c r="K103" s="435">
        <f t="shared" ref="K103:M104" si="26">(K58/($K58+$L58+$M58))*$D36</f>
        <v>14945.139340376823</v>
      </c>
      <c r="L103" s="435">
        <f t="shared" si="26"/>
        <v>120106.19930905351</v>
      </c>
      <c r="M103" s="435">
        <f t="shared" si="26"/>
        <v>0</v>
      </c>
      <c r="N103" s="435"/>
      <c r="O103" s="1014"/>
      <c r="R103" s="446" t="s">
        <v>180</v>
      </c>
      <c r="S103" s="447">
        <v>114005</v>
      </c>
      <c r="T103" s="447">
        <v>100205</v>
      </c>
      <c r="U103" s="447">
        <v>85741</v>
      </c>
      <c r="V103" s="447">
        <f>SUM(V85:V102)</f>
        <v>79506</v>
      </c>
      <c r="W103" s="447">
        <f>SUM(W85:W102)</f>
        <v>79428</v>
      </c>
      <c r="X103" s="438">
        <f>SUM(X85:X102)</f>
        <v>76620</v>
      </c>
      <c r="Y103" s="989">
        <f>SUM(Y85:Y102)</f>
        <v>73609</v>
      </c>
      <c r="Z103" s="438"/>
    </row>
    <row r="104" spans="1:26">
      <c r="E104"/>
      <c r="F104" s="446"/>
      <c r="G104" s="447"/>
      <c r="H104" s="447"/>
      <c r="I104" s="447"/>
      <c r="K104" s="435">
        <f t="shared" si="26"/>
        <v>50845596.963585295</v>
      </c>
      <c r="L104" s="435">
        <f t="shared" si="26"/>
        <v>14648555.185724538</v>
      </c>
      <c r="M104" s="435">
        <f t="shared" si="26"/>
        <v>4547060.8080903674</v>
      </c>
      <c r="N104" s="438"/>
      <c r="O104" s="438"/>
      <c r="R104" s="450" t="s">
        <v>524</v>
      </c>
      <c r="S104" s="435">
        <v>321872</v>
      </c>
      <c r="T104" s="435">
        <v>325748</v>
      </c>
      <c r="U104" s="435">
        <v>316759</v>
      </c>
      <c r="V104" s="435">
        <v>107800</v>
      </c>
      <c r="W104" s="435"/>
      <c r="X104" s="435"/>
      <c r="Y104" s="435"/>
      <c r="Z104" s="435"/>
    </row>
    <row r="105" spans="1:26">
      <c r="E105"/>
      <c r="L105"/>
      <c r="M105"/>
      <c r="N105"/>
      <c r="O105"/>
      <c r="R105" s="448" t="s">
        <v>525</v>
      </c>
      <c r="S105" s="435">
        <v>321769</v>
      </c>
      <c r="T105" s="435">
        <v>325591</v>
      </c>
      <c r="U105" s="435">
        <v>316656</v>
      </c>
      <c r="V105" s="435"/>
      <c r="W105" s="435"/>
      <c r="X105" s="435"/>
      <c r="Y105" s="435"/>
      <c r="Z105" s="435"/>
    </row>
    <row r="106" spans="1:26">
      <c r="E106"/>
      <c r="L106"/>
      <c r="M106"/>
      <c r="N106"/>
      <c r="O106"/>
      <c r="R106" s="434"/>
      <c r="S106" s="435"/>
      <c r="T106" s="434"/>
      <c r="U106" s="434"/>
      <c r="V106" s="434"/>
      <c r="W106" s="434"/>
      <c r="X106" s="434"/>
      <c r="Y106" s="434"/>
      <c r="Z106" s="434"/>
    </row>
    <row r="107" spans="1:26">
      <c r="E107"/>
      <c r="F107" s="456" t="s">
        <v>968</v>
      </c>
      <c r="G107" s="456"/>
      <c r="H107" s="456"/>
      <c r="I107" s="456"/>
      <c r="J107" s="456"/>
      <c r="K107" s="456"/>
      <c r="L107" s="456"/>
      <c r="M107" s="456"/>
      <c r="N107" s="456"/>
      <c r="O107" s="456"/>
      <c r="R107" s="439" t="s">
        <v>526</v>
      </c>
      <c r="S107" s="451">
        <v>1696</v>
      </c>
      <c r="T107" s="451">
        <v>1815</v>
      </c>
      <c r="U107" s="451">
        <v>1944</v>
      </c>
      <c r="V107" s="451">
        <f>'SCH data and adjusts'!B100</f>
        <v>0</v>
      </c>
      <c r="W107" s="451">
        <f>'SCH data and adjusts'!C100</f>
        <v>0</v>
      </c>
      <c r="X107" s="1523">
        <f>'SCH data and adjusts'!D100</f>
        <v>0</v>
      </c>
      <c r="Y107" s="1192">
        <f>'SCH data and adjusts'!E100</f>
        <v>0</v>
      </c>
      <c r="Z107" s="451"/>
    </row>
    <row r="108" spans="1:26" ht="25.5">
      <c r="E108"/>
      <c r="F108" s="214"/>
      <c r="G108" s="457"/>
      <c r="H108" s="457"/>
      <c r="I108" s="457"/>
      <c r="J108" s="214"/>
      <c r="K108" s="457" t="s">
        <v>1240</v>
      </c>
      <c r="L108" s="457" t="s">
        <v>1242</v>
      </c>
      <c r="M108" s="457" t="s">
        <v>1241</v>
      </c>
      <c r="N108" s="457"/>
      <c r="O108" s="457"/>
      <c r="R108" s="434"/>
      <c r="S108" s="435"/>
      <c r="T108" s="434"/>
      <c r="U108" s="434"/>
      <c r="V108" s="434"/>
      <c r="W108" s="434"/>
      <c r="X108" s="434"/>
      <c r="Y108" s="434"/>
      <c r="Z108" s="434"/>
    </row>
    <row r="109" spans="1:26">
      <c r="E109"/>
      <c r="F109" s="441" t="s">
        <v>513</v>
      </c>
      <c r="G109" s="435"/>
      <c r="H109" s="435"/>
      <c r="I109" s="435"/>
      <c r="K109" s="841">
        <f t="shared" ref="K109:M120" si="27">K86/(K64/3)</f>
        <v>132.64916574298954</v>
      </c>
      <c r="L109" s="841">
        <f t="shared" si="27"/>
        <v>191.3534773909509</v>
      </c>
      <c r="M109" s="841">
        <f t="shared" si="27"/>
        <v>385.52927745728454</v>
      </c>
      <c r="N109" s="435"/>
      <c r="O109" s="1014"/>
      <c r="R109" s="452"/>
      <c r="S109" s="434"/>
      <c r="T109" s="434"/>
      <c r="U109" s="434"/>
      <c r="V109" s="434"/>
      <c r="W109" s="434"/>
      <c r="X109" s="434"/>
      <c r="Y109" s="434"/>
      <c r="Z109" s="434"/>
    </row>
    <row r="110" spans="1:26">
      <c r="E110"/>
      <c r="F110" s="441" t="s">
        <v>6</v>
      </c>
      <c r="G110" s="435"/>
      <c r="H110" s="435"/>
      <c r="I110" s="435"/>
      <c r="K110" s="841">
        <f t="shared" si="27"/>
        <v>132.64916574298957</v>
      </c>
      <c r="L110" s="841">
        <f t="shared" si="27"/>
        <v>191.3534773909509</v>
      </c>
      <c r="M110" s="841">
        <f t="shared" si="27"/>
        <v>385.52927745728454</v>
      </c>
      <c r="N110" s="435"/>
      <c r="O110" s="1014"/>
      <c r="R110" s="439" t="s">
        <v>527</v>
      </c>
      <c r="S110" s="440"/>
      <c r="T110" s="440"/>
      <c r="U110" s="440"/>
      <c r="V110" s="440"/>
      <c r="W110" s="440"/>
      <c r="X110" s="440"/>
      <c r="Y110" s="440"/>
      <c r="Z110" s="440"/>
    </row>
    <row r="111" spans="1:26">
      <c r="E111"/>
      <c r="F111" s="441" t="s">
        <v>8</v>
      </c>
      <c r="G111" s="435"/>
      <c r="H111" s="435"/>
      <c r="I111" s="435"/>
      <c r="K111" s="841">
        <f t="shared" si="27"/>
        <v>132.64916574298954</v>
      </c>
      <c r="L111" s="841">
        <f t="shared" si="27"/>
        <v>191.35347739095087</v>
      </c>
      <c r="M111" s="841">
        <f t="shared" si="27"/>
        <v>385.52927745728448</v>
      </c>
      <c r="N111" s="435"/>
      <c r="O111" s="1014"/>
      <c r="R111" s="441" t="s">
        <v>513</v>
      </c>
      <c r="S111" s="435">
        <v>10140</v>
      </c>
      <c r="T111" s="435">
        <v>10529</v>
      </c>
      <c r="U111" s="435">
        <v>10242</v>
      </c>
      <c r="V111" s="435">
        <f>'SCH data and adjusts'!B104</f>
        <v>10630</v>
      </c>
      <c r="W111" s="435">
        <f>'SCH data and adjusts'!C104</f>
        <v>9713</v>
      </c>
      <c r="X111" s="1518">
        <f>'SCH data and adjusts'!D104</f>
        <v>9693</v>
      </c>
      <c r="Y111" s="985">
        <f>'SCH data and adjusts'!E104</f>
        <v>9982</v>
      </c>
      <c r="Z111" s="435">
        <f>3*'What If Data'!G25</f>
        <v>0</v>
      </c>
    </row>
    <row r="112" spans="1:26">
      <c r="E112"/>
      <c r="F112" s="442" t="s">
        <v>2</v>
      </c>
      <c r="G112" s="443"/>
      <c r="H112" s="443"/>
      <c r="I112" s="443"/>
      <c r="K112" s="841">
        <f t="shared" si="27"/>
        <v>132.64916574298954</v>
      </c>
      <c r="L112" s="841">
        <f t="shared" si="27"/>
        <v>191.35347739095087</v>
      </c>
      <c r="M112" s="841">
        <f t="shared" si="27"/>
        <v>385.52927745728448</v>
      </c>
      <c r="N112" s="443"/>
      <c r="O112" s="1014"/>
      <c r="R112" s="441" t="s">
        <v>6</v>
      </c>
      <c r="S112" s="435">
        <v>4877</v>
      </c>
      <c r="T112" s="435">
        <v>5185</v>
      </c>
      <c r="U112" s="435">
        <v>4977</v>
      </c>
      <c r="V112" s="435">
        <f>'SCH data and adjusts'!B105</f>
        <v>5539</v>
      </c>
      <c r="W112" s="435">
        <f>'SCH data and adjusts'!C105</f>
        <v>4853</v>
      </c>
      <c r="X112" s="1518">
        <f>'SCH data and adjusts'!D105</f>
        <v>3330</v>
      </c>
      <c r="Y112" s="985">
        <f>'SCH data and adjusts'!E105</f>
        <v>3832</v>
      </c>
      <c r="Z112" s="435">
        <f>3*'What If Data'!G26</f>
        <v>0</v>
      </c>
    </row>
    <row r="113" spans="5:27">
      <c r="E113"/>
      <c r="F113" s="441" t="s">
        <v>10</v>
      </c>
      <c r="G113" s="435"/>
      <c r="H113" s="435"/>
      <c r="I113" s="435"/>
      <c r="K113" s="841">
        <f t="shared" si="27"/>
        <v>132.64916574298957</v>
      </c>
      <c r="L113" s="841">
        <f t="shared" si="27"/>
        <v>191.3534773909509</v>
      </c>
      <c r="M113" s="841">
        <f t="shared" si="27"/>
        <v>385.52927745728465</v>
      </c>
      <c r="N113" s="435"/>
      <c r="O113" s="1014"/>
      <c r="R113" s="441" t="s">
        <v>8</v>
      </c>
      <c r="S113" s="435">
        <v>2278</v>
      </c>
      <c r="T113" s="435">
        <v>2154</v>
      </c>
      <c r="U113" s="435">
        <v>2527</v>
      </c>
      <c r="V113" s="435">
        <f>'SCH data and adjusts'!B106</f>
        <v>1355</v>
      </c>
      <c r="W113" s="435">
        <f>'SCH data and adjusts'!C106</f>
        <v>1216</v>
      </c>
      <c r="X113" s="1518">
        <f>'SCH data and adjusts'!D106</f>
        <v>1139</v>
      </c>
      <c r="Y113" s="985">
        <f>'SCH data and adjusts'!E106</f>
        <v>1006</v>
      </c>
      <c r="Z113" s="435">
        <f>3*'What If Data'!G27</f>
        <v>0</v>
      </c>
    </row>
    <row r="114" spans="5:27">
      <c r="E114"/>
      <c r="F114" s="441" t="s">
        <v>4</v>
      </c>
      <c r="G114" s="435"/>
      <c r="H114" s="435"/>
      <c r="I114" s="435"/>
      <c r="K114" s="841">
        <f t="shared" si="27"/>
        <v>132.64916574298957</v>
      </c>
      <c r="L114" s="841">
        <f t="shared" si="27"/>
        <v>191.35347739095087</v>
      </c>
      <c r="M114" s="841">
        <f>M91/(M69/3)</f>
        <v>385.52927745728459</v>
      </c>
      <c r="N114" s="435"/>
      <c r="O114" s="1014"/>
      <c r="R114" s="442" t="s">
        <v>2</v>
      </c>
      <c r="S114" s="443">
        <v>3439</v>
      </c>
      <c r="T114" s="443">
        <v>3557</v>
      </c>
      <c r="U114" s="443">
        <v>3487</v>
      </c>
      <c r="V114" s="443">
        <f>'SCH data and adjusts'!B107</f>
        <v>3619</v>
      </c>
      <c r="W114" s="443">
        <f>'SCH data and adjusts'!C107</f>
        <v>3558</v>
      </c>
      <c r="X114" s="1521">
        <f>'SCH data and adjusts'!D107</f>
        <v>3255</v>
      </c>
      <c r="Y114" s="987">
        <f>'SCH data and adjusts'!E107</f>
        <v>2846</v>
      </c>
      <c r="Z114" s="435">
        <f>3*'What If Data'!G28</f>
        <v>0</v>
      </c>
    </row>
    <row r="115" spans="5:27">
      <c r="E115"/>
      <c r="F115" s="441" t="s">
        <v>14</v>
      </c>
      <c r="G115" s="435"/>
      <c r="H115" s="435"/>
      <c r="I115" s="435"/>
      <c r="K115" s="841"/>
      <c r="L115" s="841">
        <f t="shared" si="27"/>
        <v>191.35347739095087</v>
      </c>
      <c r="M115" s="841">
        <f t="shared" si="27"/>
        <v>385.52927745728454</v>
      </c>
      <c r="N115" s="435"/>
      <c r="O115" s="1014"/>
      <c r="R115" s="441" t="s">
        <v>10</v>
      </c>
      <c r="S115" s="434">
        <v>17207</v>
      </c>
      <c r="T115" s="434">
        <v>17325</v>
      </c>
      <c r="U115" s="434">
        <v>17451</v>
      </c>
      <c r="V115" s="435">
        <f>'SCH data and adjusts'!B108</f>
        <v>18055</v>
      </c>
      <c r="W115" s="435">
        <f>'SCH data and adjusts'!C108</f>
        <v>17346</v>
      </c>
      <c r="X115" s="1518">
        <f>'SCH data and adjusts'!D108</f>
        <v>18373</v>
      </c>
      <c r="Y115" s="985">
        <f>'SCH data and adjusts'!E108</f>
        <v>18748</v>
      </c>
      <c r="Z115" s="435">
        <f>3*'What If Data'!G29</f>
        <v>0</v>
      </c>
    </row>
    <row r="116" spans="5:27">
      <c r="E116"/>
      <c r="F116" s="442" t="s">
        <v>17</v>
      </c>
      <c r="G116" s="443"/>
      <c r="H116" s="443"/>
      <c r="I116" s="443"/>
      <c r="K116" s="841">
        <f t="shared" si="27"/>
        <v>132.64916574298957</v>
      </c>
      <c r="L116" s="841">
        <f t="shared" si="27"/>
        <v>191.35347739095087</v>
      </c>
      <c r="M116" s="841">
        <f t="shared" si="27"/>
        <v>385.52927745728459</v>
      </c>
      <c r="N116" s="443"/>
      <c r="O116" s="1014"/>
      <c r="R116" s="441" t="s">
        <v>4</v>
      </c>
      <c r="S116" s="435">
        <v>14255</v>
      </c>
      <c r="T116" s="435">
        <v>15644</v>
      </c>
      <c r="U116" s="435">
        <v>15445</v>
      </c>
      <c r="V116" s="435">
        <f>'SCH data and adjusts'!B109</f>
        <v>15463</v>
      </c>
      <c r="W116" s="435">
        <f>'SCH data and adjusts'!C109</f>
        <v>15711</v>
      </c>
      <c r="X116" s="1518">
        <f>'SCH data and adjusts'!D109</f>
        <v>15000</v>
      </c>
      <c r="Y116" s="985">
        <f>'SCH data and adjusts'!E109</f>
        <v>14929</v>
      </c>
      <c r="Z116" s="435">
        <f>3*'What If Data'!G30</f>
        <v>0</v>
      </c>
    </row>
    <row r="117" spans="5:27">
      <c r="E117"/>
      <c r="F117" s="441" t="s">
        <v>316</v>
      </c>
      <c r="G117" s="435"/>
      <c r="H117" s="435"/>
      <c r="I117" s="435"/>
      <c r="K117" s="841">
        <f t="shared" si="27"/>
        <v>132.64916574298957</v>
      </c>
      <c r="L117" s="841"/>
      <c r="M117" s="841">
        <f t="shared" si="27"/>
        <v>385.52927745728454</v>
      </c>
      <c r="N117" s="435"/>
      <c r="O117" s="1014"/>
      <c r="R117" s="441" t="s">
        <v>14</v>
      </c>
      <c r="S117" s="434">
        <v>3423</v>
      </c>
      <c r="T117" s="434">
        <v>3103</v>
      </c>
      <c r="U117" s="434">
        <v>2840</v>
      </c>
      <c r="V117" s="435">
        <f>'SCH data and adjusts'!B110</f>
        <v>2762</v>
      </c>
      <c r="W117" s="435">
        <f>'SCH data and adjusts'!C110</f>
        <v>2761</v>
      </c>
      <c r="X117" s="1518">
        <f>'SCH data and adjusts'!D110</f>
        <v>2767</v>
      </c>
      <c r="Y117" s="985">
        <f>'SCH data and adjusts'!E110</f>
        <v>2359</v>
      </c>
      <c r="Z117" s="435">
        <f>3*'What If Data'!G31</f>
        <v>0</v>
      </c>
    </row>
    <row r="118" spans="5:27">
      <c r="E118"/>
      <c r="F118" s="441" t="s">
        <v>7</v>
      </c>
      <c r="G118" s="435"/>
      <c r="H118" s="435"/>
      <c r="I118" s="435"/>
      <c r="K118" s="841">
        <f t="shared" si="27"/>
        <v>132.64916574298957</v>
      </c>
      <c r="L118" s="841">
        <f t="shared" si="27"/>
        <v>191.3534773909509</v>
      </c>
      <c r="M118" s="841">
        <f t="shared" si="27"/>
        <v>385.52927745728459</v>
      </c>
      <c r="N118" s="435"/>
      <c r="O118" s="1014"/>
      <c r="R118" s="442" t="s">
        <v>17</v>
      </c>
      <c r="S118" s="443">
        <v>6475</v>
      </c>
      <c r="T118" s="443">
        <v>6996</v>
      </c>
      <c r="U118" s="443">
        <v>7185</v>
      </c>
      <c r="V118" s="443">
        <f>'SCH data and adjusts'!B111</f>
        <v>7282</v>
      </c>
      <c r="W118" s="443">
        <f>'SCH data and adjusts'!C111</f>
        <v>7392</v>
      </c>
      <c r="X118" s="1521">
        <f>'SCH data and adjusts'!D111</f>
        <v>8333</v>
      </c>
      <c r="Y118" s="987">
        <f>'SCH data and adjusts'!E111</f>
        <v>8595</v>
      </c>
      <c r="Z118" s="435">
        <f>3*'What If Data'!G32</f>
        <v>0</v>
      </c>
      <c r="AA118" t="e">
        <f>#REF!/U118</f>
        <v>#REF!</v>
      </c>
    </row>
    <row r="119" spans="5:27">
      <c r="E119"/>
      <c r="F119" s="441" t="s">
        <v>514</v>
      </c>
      <c r="G119" s="435"/>
      <c r="H119" s="435"/>
      <c r="I119" s="435"/>
      <c r="K119" s="841">
        <f t="shared" si="27"/>
        <v>188.02285777869506</v>
      </c>
      <c r="L119" s="841">
        <f t="shared" si="27"/>
        <v>191.35347739095087</v>
      </c>
      <c r="M119" s="841">
        <f t="shared" si="27"/>
        <v>385.52927745728459</v>
      </c>
      <c r="N119" s="435"/>
      <c r="O119" s="1014"/>
      <c r="R119" s="441" t="s">
        <v>316</v>
      </c>
      <c r="S119" s="434">
        <v>12462</v>
      </c>
      <c r="T119" s="434">
        <v>12570</v>
      </c>
      <c r="U119" s="434">
        <v>12503</v>
      </c>
      <c r="V119" s="435">
        <f>'SCH data and adjusts'!B112</f>
        <v>12157</v>
      </c>
      <c r="W119" s="435">
        <f>'SCH data and adjusts'!C112</f>
        <v>11798</v>
      </c>
      <c r="X119" s="1518">
        <f>'SCH data and adjusts'!D112</f>
        <v>13052</v>
      </c>
      <c r="Y119" s="985">
        <f>'SCH data and adjusts'!E112</f>
        <v>14018</v>
      </c>
      <c r="Z119" s="435">
        <f>3*'What If Data'!G33</f>
        <v>0</v>
      </c>
    </row>
    <row r="120" spans="5:27">
      <c r="E120"/>
      <c r="F120" s="442" t="s">
        <v>515</v>
      </c>
      <c r="G120" s="443"/>
      <c r="H120" s="443"/>
      <c r="I120" s="443"/>
      <c r="K120" s="841">
        <f t="shared" si="27"/>
        <v>132.64916574298957</v>
      </c>
      <c r="L120" s="841">
        <f t="shared" si="27"/>
        <v>191.3534773909509</v>
      </c>
      <c r="M120" s="841">
        <f t="shared" si="27"/>
        <v>385.52927745728459</v>
      </c>
      <c r="N120" s="443"/>
      <c r="O120" s="1014"/>
      <c r="R120" s="441" t="s">
        <v>7</v>
      </c>
      <c r="S120" s="435">
        <v>25998</v>
      </c>
      <c r="T120" s="435">
        <v>26492</v>
      </c>
      <c r="U120" s="435">
        <v>30508</v>
      </c>
      <c r="V120" s="435">
        <f>'SCH data and adjusts'!B113</f>
        <v>34208</v>
      </c>
      <c r="W120" s="435">
        <f>'SCH data and adjusts'!C113</f>
        <v>35004</v>
      </c>
      <c r="X120" s="1518">
        <f>'SCH data and adjusts'!D113</f>
        <v>33481</v>
      </c>
      <c r="Y120" s="985">
        <f>'SCH data and adjusts'!E113</f>
        <v>32931</v>
      </c>
      <c r="Z120" s="435">
        <f>3*'What If Data'!G34</f>
        <v>0</v>
      </c>
    </row>
    <row r="121" spans="5:27">
      <c r="E121"/>
      <c r="F121" s="441"/>
      <c r="G121" s="435"/>
      <c r="H121" s="435"/>
      <c r="I121" s="435"/>
      <c r="K121" s="841"/>
      <c r="L121" s="1089"/>
      <c r="M121" s="1089"/>
      <c r="N121" s="435"/>
      <c r="O121" s="462"/>
      <c r="R121" s="441" t="s">
        <v>514</v>
      </c>
      <c r="S121" s="435">
        <v>5241</v>
      </c>
      <c r="T121" s="435">
        <v>6119</v>
      </c>
      <c r="U121" s="435">
        <v>6495</v>
      </c>
      <c r="V121" s="435">
        <f>'SCH data and adjusts'!B114</f>
        <v>6031</v>
      </c>
      <c r="W121" s="435">
        <f>'SCH data and adjusts'!C114</f>
        <v>6807</v>
      </c>
      <c r="X121" s="1518">
        <f>'SCH data and adjusts'!D114</f>
        <v>8195</v>
      </c>
      <c r="Y121" s="985">
        <f>'SCH data and adjusts'!E114</f>
        <v>7871</v>
      </c>
      <c r="Z121" s="435">
        <f>3*'What If Data'!G35</f>
        <v>0</v>
      </c>
    </row>
    <row r="122" spans="5:27">
      <c r="E122"/>
      <c r="F122" s="461" t="s">
        <v>516</v>
      </c>
      <c r="G122" s="435"/>
      <c r="H122" s="435"/>
      <c r="I122" s="435"/>
      <c r="K122" s="841">
        <f t="shared" ref="K122:L126" si="28">K99/(K77/3)</f>
        <v>132.64916574298954</v>
      </c>
      <c r="L122" s="841">
        <f t="shared" si="28"/>
        <v>191.35347739095084</v>
      </c>
      <c r="M122" s="841"/>
      <c r="N122" s="435"/>
      <c r="O122" s="1014"/>
      <c r="R122" s="442" t="s">
        <v>515</v>
      </c>
      <c r="S122" s="443">
        <v>5184</v>
      </c>
      <c r="T122" s="443">
        <v>5422</v>
      </c>
      <c r="U122" s="443">
        <v>4487</v>
      </c>
      <c r="V122" s="443">
        <f>'SCH data and adjusts'!B115</f>
        <v>4380</v>
      </c>
      <c r="W122" s="443">
        <f>'SCH data and adjusts'!C115</f>
        <v>4198</v>
      </c>
      <c r="X122" s="1521">
        <f>'SCH data and adjusts'!D115</f>
        <v>4324</v>
      </c>
      <c r="Y122" s="987">
        <f>'SCH data and adjusts'!E115</f>
        <v>3703</v>
      </c>
      <c r="Z122" s="435">
        <f>3*'What If Data'!G36</f>
        <v>0</v>
      </c>
    </row>
    <row r="123" spans="5:27">
      <c r="E123"/>
      <c r="F123" s="461" t="s">
        <v>537</v>
      </c>
      <c r="G123" s="435"/>
      <c r="H123" s="435"/>
      <c r="I123" s="435"/>
      <c r="K123" s="841">
        <f t="shared" si="28"/>
        <v>132.64916574298957</v>
      </c>
      <c r="L123" s="841">
        <f t="shared" si="28"/>
        <v>191.35347739095093</v>
      </c>
      <c r="M123" s="841"/>
      <c r="N123" s="435"/>
      <c r="O123" s="1014"/>
      <c r="R123" s="441"/>
      <c r="S123" s="434"/>
      <c r="T123" s="434"/>
      <c r="U123" s="434"/>
      <c r="V123" s="434"/>
      <c r="W123" s="434"/>
      <c r="X123" s="986"/>
      <c r="Y123" s="986"/>
      <c r="Z123" s="434"/>
    </row>
    <row r="124" spans="5:27">
      <c r="E124"/>
      <c r="F124" s="463" t="s">
        <v>518</v>
      </c>
      <c r="G124" s="443"/>
      <c r="H124" s="443"/>
      <c r="I124" s="443"/>
      <c r="K124" s="841">
        <f t="shared" si="28"/>
        <v>132.64916574298957</v>
      </c>
      <c r="L124" s="841">
        <f t="shared" si="28"/>
        <v>191.3534773909509</v>
      </c>
      <c r="M124" s="841" t="e">
        <f>M101/(M79/3)</f>
        <v>#DIV/0!</v>
      </c>
      <c r="N124" s="443"/>
      <c r="O124" s="1014"/>
      <c r="R124" s="461" t="s">
        <v>516</v>
      </c>
      <c r="S124" s="434"/>
      <c r="T124" s="434"/>
      <c r="U124" s="434"/>
      <c r="V124" s="434">
        <f>'SCH data and adjusts'!B117</f>
        <v>0</v>
      </c>
      <c r="W124" s="434">
        <f>'SCH data and adjusts'!C117</f>
        <v>0</v>
      </c>
      <c r="X124" s="986">
        <f>'SCH data and adjusts'!D117</f>
        <v>0</v>
      </c>
      <c r="Y124" s="986">
        <f>'SCH data and adjusts'!E117</f>
        <v>0</v>
      </c>
      <c r="Z124" s="434"/>
    </row>
    <row r="125" spans="5:27">
      <c r="E125"/>
      <c r="F125" s="461" t="s">
        <v>536</v>
      </c>
      <c r="G125" s="435"/>
      <c r="H125" s="435"/>
      <c r="I125" s="435"/>
      <c r="K125" s="841">
        <f t="shared" si="28"/>
        <v>132.64916574298954</v>
      </c>
      <c r="L125" s="841">
        <f t="shared" si="28"/>
        <v>191.3534773909509</v>
      </c>
      <c r="M125" s="841"/>
      <c r="N125" s="435"/>
      <c r="O125" s="1014"/>
      <c r="R125" s="461" t="s">
        <v>537</v>
      </c>
      <c r="S125" s="434">
        <v>0</v>
      </c>
      <c r="T125" s="434">
        <v>0</v>
      </c>
      <c r="U125" s="434">
        <v>0</v>
      </c>
      <c r="V125" s="434">
        <f>'SCH data and adjusts'!B118</f>
        <v>0</v>
      </c>
      <c r="W125" s="434">
        <f>'SCH data and adjusts'!C118</f>
        <v>0</v>
      </c>
      <c r="X125" s="986">
        <f>'SCH data and adjusts'!D118</f>
        <v>0</v>
      </c>
      <c r="Y125" s="986">
        <f>'SCH data and adjusts'!E118</f>
        <v>0</v>
      </c>
      <c r="Z125" s="434"/>
    </row>
    <row r="126" spans="5:27">
      <c r="E126"/>
      <c r="F126" s="467" t="s">
        <v>520</v>
      </c>
      <c r="G126" s="435"/>
      <c r="H126" s="435"/>
      <c r="I126" s="435"/>
      <c r="K126" s="841">
        <f t="shared" si="28"/>
        <v>132.64916574298954</v>
      </c>
      <c r="L126" s="841">
        <f t="shared" si="28"/>
        <v>191.3534773909509</v>
      </c>
      <c r="M126" s="841"/>
      <c r="N126" s="435"/>
      <c r="O126" s="1014"/>
      <c r="R126" s="463" t="s">
        <v>518</v>
      </c>
      <c r="S126" s="444"/>
      <c r="T126" s="444"/>
      <c r="U126" s="444"/>
      <c r="V126" s="444">
        <f>'SCH data and adjusts'!B119</f>
        <v>0</v>
      </c>
      <c r="W126" s="444">
        <f>'SCH data and adjusts'!C119</f>
        <v>0</v>
      </c>
      <c r="X126" s="988">
        <f>'SCH data and adjusts'!D119</f>
        <v>0</v>
      </c>
      <c r="Y126" s="988">
        <f>'SCH data and adjusts'!E119</f>
        <v>0</v>
      </c>
      <c r="Z126" s="435">
        <f>3*'What If Data'!G40</f>
        <v>0</v>
      </c>
    </row>
    <row r="127" spans="5:27">
      <c r="E127"/>
      <c r="F127" s="446"/>
      <c r="G127" s="447"/>
      <c r="H127" s="447"/>
      <c r="I127" s="447"/>
      <c r="K127" s="1089">
        <f>K104/(K82/3)</f>
        <v>135.91505877755483</v>
      </c>
      <c r="L127" s="447"/>
      <c r="M127" s="447"/>
      <c r="N127" s="438"/>
      <c r="O127" s="438"/>
      <c r="R127" s="461" t="s">
        <v>536</v>
      </c>
      <c r="S127" s="434"/>
      <c r="T127" s="434"/>
      <c r="U127" s="434"/>
      <c r="V127" s="434">
        <f>'SCH data and adjusts'!B120</f>
        <v>0</v>
      </c>
      <c r="W127" s="434">
        <f>'SCH data and adjusts'!C120</f>
        <v>0</v>
      </c>
      <c r="X127" s="986">
        <f>'SCH data and adjusts'!D120</f>
        <v>0</v>
      </c>
      <c r="Y127" s="986">
        <f>'SCH data and adjusts'!E120</f>
        <v>0</v>
      </c>
      <c r="Z127" s="434"/>
    </row>
    <row r="128" spans="5:27">
      <c r="E128"/>
      <c r="L128"/>
      <c r="M128"/>
      <c r="N128"/>
      <c r="O128"/>
      <c r="R128" s="467" t="s">
        <v>520</v>
      </c>
      <c r="S128" s="434"/>
      <c r="T128" s="434"/>
      <c r="U128" s="434"/>
      <c r="V128" s="434">
        <f>'SCH data and adjusts'!B121</f>
        <v>0</v>
      </c>
      <c r="W128" s="434">
        <f>'SCH data and adjusts'!C121</f>
        <v>0</v>
      </c>
      <c r="X128" s="986">
        <f>'SCH data and adjusts'!D121</f>
        <v>0</v>
      </c>
      <c r="Y128" s="986">
        <f>'SCH data and adjusts'!E121</f>
        <v>0</v>
      </c>
      <c r="Z128" s="434"/>
    </row>
    <row r="129" spans="5:27">
      <c r="E129"/>
      <c r="L129"/>
      <c r="M129"/>
      <c r="N129"/>
      <c r="O129"/>
      <c r="R129" s="446" t="s">
        <v>180</v>
      </c>
      <c r="S129" s="447">
        <v>110979</v>
      </c>
      <c r="T129" s="447">
        <v>115096</v>
      </c>
      <c r="U129" s="447">
        <v>118147</v>
      </c>
      <c r="V129" s="447">
        <f>SUM(V111:V128)</f>
        <v>121481</v>
      </c>
      <c r="W129" s="447">
        <f>SUM(W111:W128)</f>
        <v>120357</v>
      </c>
      <c r="X129" s="447">
        <f>SUM(X111:X128)</f>
        <v>120942</v>
      </c>
      <c r="Y129" s="989">
        <f>SUM(Y111:Y128)</f>
        <v>120820</v>
      </c>
      <c r="Z129" s="438"/>
    </row>
    <row r="130" spans="5:27">
      <c r="E130"/>
      <c r="K130">
        <f>4500*K112</f>
        <v>596921.24584345287</v>
      </c>
      <c r="L130"/>
      <c r="M130"/>
      <c r="N130"/>
      <c r="O130"/>
      <c r="R130" s="148"/>
      <c r="S130" s="434"/>
      <c r="T130" s="434"/>
      <c r="U130" s="434"/>
      <c r="V130" s="434"/>
      <c r="W130" s="435"/>
      <c r="X130" s="435"/>
      <c r="Y130" s="435"/>
      <c r="Z130" s="435"/>
    </row>
    <row r="131" spans="5:27">
      <c r="E131"/>
      <c r="L131"/>
      <c r="M131"/>
      <c r="N131"/>
      <c r="O131"/>
      <c r="R131" s="148"/>
      <c r="S131" s="434"/>
      <c r="T131" s="434"/>
      <c r="U131" s="434"/>
      <c r="V131" s="434"/>
      <c r="W131" s="434"/>
      <c r="X131" s="434"/>
      <c r="Y131" s="434"/>
      <c r="Z131" s="434"/>
    </row>
    <row r="132" spans="5:27">
      <c r="E132"/>
      <c r="L132"/>
      <c r="M132"/>
      <c r="N132"/>
      <c r="O132"/>
      <c r="R132" s="148"/>
      <c r="S132" s="433" t="s">
        <v>507</v>
      </c>
      <c r="T132" s="433" t="s">
        <v>508</v>
      </c>
      <c r="U132" s="433" t="s">
        <v>509</v>
      </c>
      <c r="V132" s="433" t="s">
        <v>966</v>
      </c>
      <c r="W132" s="433" t="s">
        <v>967</v>
      </c>
      <c r="X132" s="433" t="s">
        <v>1474</v>
      </c>
      <c r="Y132" s="433"/>
      <c r="Z132" s="433"/>
    </row>
    <row r="133" spans="5:27">
      <c r="E133"/>
      <c r="L133"/>
      <c r="M133"/>
      <c r="N133"/>
      <c r="O133"/>
      <c r="R133" s="439" t="s">
        <v>528</v>
      </c>
      <c r="S133" s="440"/>
      <c r="T133" s="440"/>
      <c r="U133" s="440"/>
      <c r="V133" s="440"/>
      <c r="W133" s="440"/>
      <c r="X133" s="440"/>
      <c r="Y133" s="440"/>
      <c r="Z133" s="440"/>
    </row>
    <row r="134" spans="5:27">
      <c r="E134"/>
      <c r="L134"/>
      <c r="M134"/>
      <c r="N134"/>
      <c r="O134"/>
      <c r="R134" s="441" t="s">
        <v>513</v>
      </c>
      <c r="S134" s="435">
        <v>2113</v>
      </c>
      <c r="T134" s="435">
        <v>1857</v>
      </c>
      <c r="U134" s="435">
        <v>1256</v>
      </c>
      <c r="V134" s="435">
        <f>'SCH data and adjusts'!B127</f>
        <v>979</v>
      </c>
      <c r="W134" s="435">
        <f>'SCH data and adjusts'!C127</f>
        <v>1011</v>
      </c>
      <c r="X134" s="1518">
        <f>'SCH data and adjusts'!D127</f>
        <v>804</v>
      </c>
      <c r="Y134" s="985">
        <f>'SCH data and adjusts'!E127</f>
        <v>663</v>
      </c>
      <c r="Z134" s="435">
        <f>3*'What If Data'!F25</f>
        <v>0</v>
      </c>
    </row>
    <row r="135" spans="5:27">
      <c r="E135"/>
      <c r="L135"/>
      <c r="M135"/>
      <c r="N135"/>
      <c r="O135"/>
      <c r="R135" s="441" t="s">
        <v>6</v>
      </c>
      <c r="S135" s="435">
        <v>1124</v>
      </c>
      <c r="T135" s="435">
        <v>1591</v>
      </c>
      <c r="U135" s="435">
        <v>1429</v>
      </c>
      <c r="V135" s="435">
        <f>'SCH data and adjusts'!B128</f>
        <v>367</v>
      </c>
      <c r="W135" s="435">
        <f>'SCH data and adjusts'!C128</f>
        <v>387</v>
      </c>
      <c r="X135" s="1518">
        <f>'SCH data and adjusts'!D128</f>
        <v>508</v>
      </c>
      <c r="Y135" s="985">
        <f>'SCH data and adjusts'!E128</f>
        <v>671</v>
      </c>
      <c r="Z135" s="435">
        <f>3*'What If Data'!F26</f>
        <v>0</v>
      </c>
    </row>
    <row r="136" spans="5:27">
      <c r="E136"/>
      <c r="L136"/>
      <c r="M136"/>
      <c r="N136"/>
      <c r="O136"/>
      <c r="R136" s="441" t="s">
        <v>8</v>
      </c>
      <c r="S136" s="435">
        <v>1474</v>
      </c>
      <c r="T136" s="435">
        <v>950</v>
      </c>
      <c r="U136" s="435">
        <v>226</v>
      </c>
      <c r="V136" s="435">
        <f>'SCH data and adjusts'!B129</f>
        <v>312</v>
      </c>
      <c r="W136" s="435">
        <f>'SCH data and adjusts'!C129</f>
        <v>357</v>
      </c>
      <c r="X136" s="1518">
        <f>'SCH data and adjusts'!D129</f>
        <v>257</v>
      </c>
      <c r="Y136" s="985">
        <f>'SCH data and adjusts'!E129</f>
        <v>156</v>
      </c>
      <c r="Z136" s="435">
        <f>3*'What If Data'!F27</f>
        <v>0</v>
      </c>
    </row>
    <row r="137" spans="5:27">
      <c r="E137"/>
      <c r="L137"/>
      <c r="M137"/>
      <c r="N137"/>
      <c r="O137"/>
      <c r="R137" s="442" t="s">
        <v>2</v>
      </c>
      <c r="S137" s="443">
        <v>794</v>
      </c>
      <c r="T137" s="443">
        <v>857</v>
      </c>
      <c r="U137" s="443">
        <v>855</v>
      </c>
      <c r="V137" s="443">
        <f>'SCH data and adjusts'!B130</f>
        <v>754</v>
      </c>
      <c r="W137" s="443">
        <f>'SCH data and adjusts'!C130</f>
        <v>625</v>
      </c>
      <c r="X137" s="1521">
        <f>'SCH data and adjusts'!D130</f>
        <v>757</v>
      </c>
      <c r="Y137" s="987">
        <f>'SCH data and adjusts'!E130</f>
        <v>455</v>
      </c>
      <c r="Z137" s="435">
        <f>3*'What If Data'!F28</f>
        <v>0</v>
      </c>
    </row>
    <row r="138" spans="5:27">
      <c r="E138"/>
      <c r="L138"/>
      <c r="M138"/>
      <c r="N138"/>
      <c r="O138"/>
      <c r="R138" s="441" t="s">
        <v>10</v>
      </c>
      <c r="S138" s="434">
        <v>90</v>
      </c>
      <c r="T138" s="434">
        <v>134</v>
      </c>
      <c r="U138" s="434">
        <v>71</v>
      </c>
      <c r="V138" s="435">
        <f>'SCH data and adjusts'!B131</f>
        <v>138</v>
      </c>
      <c r="W138" s="435">
        <f>'SCH data and adjusts'!C131</f>
        <v>112</v>
      </c>
      <c r="X138" s="1518">
        <f>'SCH data and adjusts'!D131</f>
        <v>79</v>
      </c>
      <c r="Y138" s="985">
        <f>'SCH data and adjusts'!E131</f>
        <v>95</v>
      </c>
      <c r="Z138" s="435">
        <f>3*'What If Data'!F29</f>
        <v>0</v>
      </c>
    </row>
    <row r="139" spans="5:27">
      <c r="E139"/>
      <c r="L139"/>
      <c r="M139"/>
      <c r="N139"/>
      <c r="O139"/>
      <c r="R139" s="441" t="s">
        <v>4</v>
      </c>
      <c r="S139" s="435">
        <v>3577</v>
      </c>
      <c r="T139" s="435">
        <v>3653</v>
      </c>
      <c r="U139" s="435">
        <v>3359</v>
      </c>
      <c r="V139" s="435">
        <f>'SCH data and adjusts'!B132</f>
        <v>3226</v>
      </c>
      <c r="W139" s="435">
        <f>'SCH data and adjusts'!C132</f>
        <v>3373</v>
      </c>
      <c r="X139" s="1518">
        <f>'SCH data and adjusts'!D132</f>
        <v>3435</v>
      </c>
      <c r="Y139" s="985">
        <f>'SCH data and adjusts'!E132</f>
        <v>3144</v>
      </c>
      <c r="Z139" s="435">
        <f>3*'What If Data'!F30</f>
        <v>0</v>
      </c>
    </row>
    <row r="140" spans="5:27">
      <c r="E140"/>
      <c r="L140"/>
      <c r="M140"/>
      <c r="N140"/>
      <c r="O140"/>
      <c r="R140" s="441" t="s">
        <v>14</v>
      </c>
      <c r="S140" s="434">
        <v>719</v>
      </c>
      <c r="T140" s="434">
        <v>828</v>
      </c>
      <c r="U140" s="434">
        <v>865</v>
      </c>
      <c r="V140" s="435">
        <f>'SCH data and adjusts'!B133</f>
        <v>905</v>
      </c>
      <c r="W140" s="435">
        <f>'SCH data and adjusts'!C133</f>
        <v>731</v>
      </c>
      <c r="X140" s="1518">
        <f>'SCH data and adjusts'!D133</f>
        <v>932</v>
      </c>
      <c r="Y140" s="985">
        <f>'SCH data and adjusts'!E133</f>
        <v>822</v>
      </c>
      <c r="Z140" s="435">
        <f>3*'What If Data'!F31</f>
        <v>0</v>
      </c>
    </row>
    <row r="141" spans="5:27">
      <c r="E141"/>
      <c r="L141"/>
      <c r="M141"/>
      <c r="N141"/>
      <c r="O141"/>
      <c r="R141" s="442" t="s">
        <v>17</v>
      </c>
      <c r="S141" s="443">
        <v>3008</v>
      </c>
      <c r="T141" s="443">
        <v>2698</v>
      </c>
      <c r="U141" s="443">
        <v>2468</v>
      </c>
      <c r="V141" s="443">
        <f>'SCH data and adjusts'!B134</f>
        <v>2703</v>
      </c>
      <c r="W141" s="443">
        <f>'SCH data and adjusts'!C134</f>
        <v>2567</v>
      </c>
      <c r="X141" s="1521">
        <f>'SCH data and adjusts'!D134</f>
        <v>1859</v>
      </c>
      <c r="Y141" s="987">
        <f>'SCH data and adjusts'!E134</f>
        <v>1780</v>
      </c>
      <c r="Z141" s="435">
        <f>3*'What If Data'!F32</f>
        <v>0</v>
      </c>
      <c r="AA141" t="e">
        <f>#REF!/U141</f>
        <v>#REF!</v>
      </c>
    </row>
    <row r="142" spans="5:27">
      <c r="E142"/>
      <c r="L142"/>
      <c r="M142"/>
      <c r="N142"/>
      <c r="O142"/>
      <c r="R142" s="441" t="s">
        <v>316</v>
      </c>
      <c r="S142" s="434">
        <v>88</v>
      </c>
      <c r="T142" s="434">
        <v>102</v>
      </c>
      <c r="U142" s="434">
        <v>273</v>
      </c>
      <c r="V142" s="435">
        <f>'SCH data and adjusts'!B135</f>
        <v>706</v>
      </c>
      <c r="W142" s="435">
        <f>'SCH data and adjusts'!C135</f>
        <v>753</v>
      </c>
      <c r="X142" s="1518">
        <f>'SCH data and adjusts'!D135</f>
        <v>864</v>
      </c>
      <c r="Y142" s="985">
        <f>'SCH data and adjusts'!E135</f>
        <v>915</v>
      </c>
      <c r="Z142" s="435">
        <f>3*'What If Data'!F33</f>
        <v>0</v>
      </c>
    </row>
    <row r="143" spans="5:27">
      <c r="E143"/>
      <c r="L143"/>
      <c r="M143"/>
      <c r="N143"/>
      <c r="O143"/>
      <c r="R143" s="441" t="s">
        <v>7</v>
      </c>
      <c r="S143" s="435">
        <v>1300</v>
      </c>
      <c r="T143" s="435">
        <v>959</v>
      </c>
      <c r="U143" s="435">
        <v>1121</v>
      </c>
      <c r="V143" s="435">
        <f>'SCH data and adjusts'!B136</f>
        <v>935</v>
      </c>
      <c r="W143" s="435">
        <f>'SCH data and adjusts'!C136</f>
        <v>1042</v>
      </c>
      <c r="X143" s="1518">
        <f>'SCH data and adjusts'!D136</f>
        <v>1101</v>
      </c>
      <c r="Y143" s="985">
        <f>'SCH data and adjusts'!E136</f>
        <v>1022</v>
      </c>
      <c r="Z143" s="435">
        <f>3*'What If Data'!F34</f>
        <v>0</v>
      </c>
    </row>
    <row r="144" spans="5:27">
      <c r="E144"/>
      <c r="L144"/>
      <c r="M144"/>
      <c r="N144"/>
      <c r="O144"/>
      <c r="R144" s="441" t="s">
        <v>514</v>
      </c>
      <c r="S144" s="435">
        <v>1896</v>
      </c>
      <c r="T144" s="435">
        <v>1348</v>
      </c>
      <c r="U144" s="435">
        <v>921</v>
      </c>
      <c r="V144" s="435">
        <f>'SCH data and adjusts'!B137</f>
        <v>513</v>
      </c>
      <c r="W144" s="435">
        <f>'SCH data and adjusts'!C137</f>
        <v>344</v>
      </c>
      <c r="X144" s="1518">
        <f>'SCH data and adjusts'!D137</f>
        <v>457</v>
      </c>
      <c r="Y144" s="985">
        <f>'SCH data and adjusts'!E137</f>
        <v>323</v>
      </c>
      <c r="Z144" s="435">
        <f>3*'What If Data'!F35</f>
        <v>0</v>
      </c>
    </row>
    <row r="145" spans="5:26">
      <c r="E145"/>
      <c r="L145"/>
      <c r="M145"/>
      <c r="N145"/>
      <c r="O145"/>
      <c r="R145" s="442" t="s">
        <v>515</v>
      </c>
      <c r="S145" s="443">
        <v>1170</v>
      </c>
      <c r="T145" s="443">
        <v>1004</v>
      </c>
      <c r="U145" s="443">
        <v>901</v>
      </c>
      <c r="V145" s="443">
        <f>'SCH data and adjusts'!B138</f>
        <v>956</v>
      </c>
      <c r="W145" s="443">
        <f>'SCH data and adjusts'!C138</f>
        <v>982</v>
      </c>
      <c r="X145" s="1521">
        <f>'SCH data and adjusts'!D138</f>
        <v>1142</v>
      </c>
      <c r="Y145" s="987">
        <f>'SCH data and adjusts'!E138</f>
        <v>858</v>
      </c>
      <c r="Z145" s="435">
        <f>3*'What If Data'!F36</f>
        <v>0</v>
      </c>
    </row>
    <row r="146" spans="5:26">
      <c r="E146"/>
      <c r="L146"/>
      <c r="M146"/>
      <c r="N146"/>
      <c r="O146"/>
      <c r="R146" s="441"/>
      <c r="S146" s="434"/>
      <c r="T146" s="434"/>
      <c r="U146" s="434"/>
      <c r="V146" s="434"/>
      <c r="W146" s="434"/>
      <c r="X146" s="1519"/>
      <c r="Y146" s="986"/>
      <c r="Z146" s="434"/>
    </row>
    <row r="147" spans="5:26">
      <c r="E147"/>
      <c r="L147"/>
      <c r="M147"/>
      <c r="N147"/>
      <c r="O147"/>
      <c r="R147" s="461" t="s">
        <v>516</v>
      </c>
      <c r="S147" s="434"/>
      <c r="T147" s="434"/>
      <c r="U147" s="434"/>
      <c r="V147" s="434">
        <f>'SCH data and adjusts'!B140</f>
        <v>0</v>
      </c>
      <c r="W147" s="434">
        <f>'SCH data and adjusts'!C140</f>
        <v>0</v>
      </c>
      <c r="X147" s="1519">
        <f>'SCH data and adjusts'!D140</f>
        <v>0</v>
      </c>
      <c r="Y147" s="985">
        <f>'SCH data and adjusts'!E140</f>
        <v>0</v>
      </c>
      <c r="Z147" s="434"/>
    </row>
    <row r="148" spans="5:26">
      <c r="E148"/>
      <c r="L148"/>
      <c r="M148"/>
      <c r="N148"/>
      <c r="O148"/>
      <c r="R148" s="461" t="s">
        <v>537</v>
      </c>
      <c r="S148" s="434">
        <v>150</v>
      </c>
      <c r="T148" s="434">
        <v>42</v>
      </c>
      <c r="U148" s="434">
        <v>3</v>
      </c>
      <c r="V148" s="435">
        <f>'SCH data and adjusts'!B141</f>
        <v>0</v>
      </c>
      <c r="W148" s="434">
        <f>'SCH data and adjusts'!C141</f>
        <v>0</v>
      </c>
      <c r="X148" s="1519">
        <f>'SCH data and adjusts'!D141</f>
        <v>0</v>
      </c>
      <c r="Y148" s="985">
        <f>'SCH data and adjusts'!E141</f>
        <v>0</v>
      </c>
      <c r="Z148" s="434"/>
    </row>
    <row r="149" spans="5:26">
      <c r="E149"/>
      <c r="L149"/>
      <c r="M149"/>
      <c r="N149"/>
      <c r="O149"/>
      <c r="R149" s="463" t="s">
        <v>518</v>
      </c>
      <c r="S149" s="444">
        <v>64</v>
      </c>
      <c r="T149" s="444">
        <v>40</v>
      </c>
      <c r="U149" s="444">
        <v>18</v>
      </c>
      <c r="V149" s="443">
        <f>'SCH data and adjusts'!B142</f>
        <v>0</v>
      </c>
      <c r="W149" s="444">
        <f>'SCH data and adjusts'!C142</f>
        <v>0</v>
      </c>
      <c r="X149" s="1522">
        <f>'SCH data and adjusts'!D142</f>
        <v>0</v>
      </c>
      <c r="Y149" s="987">
        <f>'SCH data and adjusts'!E142</f>
        <v>0</v>
      </c>
      <c r="Z149" s="435">
        <f>3*'What If Data'!F40</f>
        <v>0</v>
      </c>
    </row>
    <row r="150" spans="5:26">
      <c r="E150"/>
      <c r="L150"/>
      <c r="M150"/>
      <c r="N150"/>
      <c r="O150"/>
      <c r="R150" s="461" t="s">
        <v>536</v>
      </c>
      <c r="S150" s="434"/>
      <c r="T150" s="434"/>
      <c r="U150" s="434"/>
      <c r="V150" s="434">
        <f>'SCH data and adjusts'!B143</f>
        <v>0</v>
      </c>
      <c r="W150" s="434">
        <f>'SCH data and adjusts'!C143</f>
        <v>0</v>
      </c>
      <c r="X150" s="1519">
        <f>'SCH data and adjusts'!D143</f>
        <v>0</v>
      </c>
      <c r="Y150" s="985">
        <f>'SCH data and adjusts'!E143</f>
        <v>0</v>
      </c>
      <c r="Z150" s="434"/>
    </row>
    <row r="151" spans="5:26">
      <c r="E151"/>
      <c r="L151"/>
      <c r="M151"/>
      <c r="N151"/>
      <c r="O151"/>
      <c r="R151" s="467" t="s">
        <v>520</v>
      </c>
      <c r="S151" s="434"/>
      <c r="T151" s="434"/>
      <c r="U151" s="434"/>
      <c r="V151" s="434">
        <f>'SCH data and adjusts'!B144</f>
        <v>0</v>
      </c>
      <c r="W151" s="434">
        <f>'SCH data and adjusts'!C144</f>
        <v>0</v>
      </c>
      <c r="X151" s="1519">
        <f>'SCH data and adjusts'!D144</f>
        <v>0</v>
      </c>
      <c r="Y151" s="985">
        <f>'SCH data and adjusts'!E144</f>
        <v>0</v>
      </c>
      <c r="Z151" s="434"/>
    </row>
    <row r="152" spans="5:26">
      <c r="E152"/>
      <c r="L152"/>
      <c r="M152"/>
      <c r="N152"/>
      <c r="O152"/>
      <c r="R152" s="446" t="s">
        <v>180</v>
      </c>
      <c r="S152" s="447">
        <v>17567</v>
      </c>
      <c r="T152" s="447">
        <v>16063</v>
      </c>
      <c r="U152" s="447">
        <v>13766</v>
      </c>
      <c r="V152" s="447">
        <f>SUM(V134:V151)</f>
        <v>12494</v>
      </c>
      <c r="W152" s="447">
        <f>SUM(W134:W151)</f>
        <v>12284</v>
      </c>
      <c r="X152" s="447">
        <f>SUM(X134:X151)</f>
        <v>12195</v>
      </c>
      <c r="Y152" s="989">
        <f>SUM(Y134:Y151)</f>
        <v>10904</v>
      </c>
      <c r="Z152" s="438"/>
    </row>
    <row r="153" spans="5:26">
      <c r="E153"/>
      <c r="L153"/>
      <c r="M153"/>
      <c r="N153"/>
      <c r="O153"/>
      <c r="R153" s="450" t="s">
        <v>529</v>
      </c>
      <c r="S153" s="435">
        <v>128546</v>
      </c>
      <c r="T153" s="435">
        <v>131159</v>
      </c>
      <c r="U153" s="435">
        <v>131913</v>
      </c>
      <c r="V153" s="435"/>
      <c r="W153" s="435"/>
      <c r="X153" s="435"/>
      <c r="Y153" s="435"/>
      <c r="Z153" s="435"/>
    </row>
    <row r="154" spans="5:26">
      <c r="P154" s="42"/>
      <c r="R154" s="448" t="s">
        <v>525</v>
      </c>
      <c r="S154" s="435">
        <v>128546</v>
      </c>
      <c r="T154" s="435">
        <v>131175</v>
      </c>
      <c r="U154" s="435">
        <v>131913</v>
      </c>
      <c r="V154" s="435"/>
      <c r="W154" s="380"/>
      <c r="X154" s="380"/>
      <c r="Y154" s="380"/>
      <c r="Z154" s="380"/>
    </row>
    <row r="155" spans="5:26">
      <c r="W155" s="380"/>
      <c r="X155" s="380"/>
      <c r="Y155" s="380"/>
      <c r="Z155" s="380"/>
    </row>
    <row r="156" spans="5:26">
      <c r="W156" s="380"/>
      <c r="X156" s="380"/>
      <c r="Y156" s="380"/>
      <c r="Z156" s="380"/>
    </row>
    <row r="157" spans="5:26">
      <c r="W157" s="380"/>
      <c r="X157" s="380"/>
      <c r="Y157" s="380"/>
      <c r="Z157" s="380"/>
    </row>
    <row r="158" spans="5:26">
      <c r="R158" s="441" t="s">
        <v>513</v>
      </c>
      <c r="S158" s="455">
        <f t="shared" ref="S158:Y167" si="29">SUM(S134,S111,S85,S64,S41,S19)</f>
        <v>52751</v>
      </c>
      <c r="T158" s="455">
        <f t="shared" si="29"/>
        <v>55079</v>
      </c>
      <c r="U158" s="455">
        <f t="shared" si="29"/>
        <v>54592</v>
      </c>
      <c r="V158" s="455">
        <f t="shared" si="29"/>
        <v>53907</v>
      </c>
      <c r="W158" s="455">
        <f t="shared" si="29"/>
        <v>53066</v>
      </c>
      <c r="X158" s="455">
        <f t="shared" si="29"/>
        <v>51268</v>
      </c>
      <c r="Y158" s="455">
        <f t="shared" si="29"/>
        <v>49368</v>
      </c>
      <c r="Z158" s="380"/>
    </row>
    <row r="159" spans="5:26">
      <c r="R159" s="441" t="s">
        <v>6</v>
      </c>
      <c r="S159" s="455">
        <f t="shared" si="29"/>
        <v>82911</v>
      </c>
      <c r="T159" s="455">
        <f t="shared" si="29"/>
        <v>84622</v>
      </c>
      <c r="U159" s="455">
        <f t="shared" si="29"/>
        <v>80904</v>
      </c>
      <c r="V159" s="455">
        <f t="shared" si="29"/>
        <v>80046</v>
      </c>
      <c r="W159" s="455">
        <f t="shared" si="29"/>
        <v>82853</v>
      </c>
      <c r="X159" s="455">
        <f t="shared" si="29"/>
        <v>88639</v>
      </c>
      <c r="Y159" s="455">
        <f t="shared" si="29"/>
        <v>93355</v>
      </c>
      <c r="Z159" s="380"/>
    </row>
    <row r="160" spans="5:26">
      <c r="R160" s="441" t="s">
        <v>8</v>
      </c>
      <c r="S160" s="455">
        <f t="shared" si="29"/>
        <v>10053</v>
      </c>
      <c r="T160" s="455">
        <f t="shared" si="29"/>
        <v>9828</v>
      </c>
      <c r="U160" s="455">
        <f t="shared" si="29"/>
        <v>8640</v>
      </c>
      <c r="V160" s="455">
        <f t="shared" si="29"/>
        <v>7832</v>
      </c>
      <c r="W160" s="455">
        <f t="shared" si="29"/>
        <v>9420</v>
      </c>
      <c r="X160" s="455">
        <f t="shared" si="29"/>
        <v>8860</v>
      </c>
      <c r="Y160" s="455">
        <f t="shared" si="29"/>
        <v>7890</v>
      </c>
      <c r="Z160" s="380"/>
    </row>
    <row r="161" spans="18:26">
      <c r="R161" s="442" t="s">
        <v>2</v>
      </c>
      <c r="S161" s="455">
        <f t="shared" si="29"/>
        <v>13373</v>
      </c>
      <c r="T161" s="455">
        <f t="shared" si="29"/>
        <v>14834</v>
      </c>
      <c r="U161" s="455">
        <f t="shared" si="29"/>
        <v>14424</v>
      </c>
      <c r="V161" s="455">
        <f t="shared" si="29"/>
        <v>14897</v>
      </c>
      <c r="W161" s="455">
        <f t="shared" si="29"/>
        <v>14750</v>
      </c>
      <c r="X161" s="455">
        <f t="shared" si="29"/>
        <v>14369</v>
      </c>
      <c r="Y161" s="455">
        <f t="shared" si="29"/>
        <v>13181</v>
      </c>
      <c r="Z161" s="380"/>
    </row>
    <row r="162" spans="18:26">
      <c r="R162" s="441" t="s">
        <v>10</v>
      </c>
      <c r="S162" s="455">
        <f t="shared" si="29"/>
        <v>18174</v>
      </c>
      <c r="T162" s="455">
        <f t="shared" si="29"/>
        <v>18376</v>
      </c>
      <c r="U162" s="455">
        <f t="shared" si="29"/>
        <v>18401</v>
      </c>
      <c r="V162" s="455">
        <f t="shared" si="29"/>
        <v>19006</v>
      </c>
      <c r="W162" s="455">
        <f t="shared" si="29"/>
        <v>18223</v>
      </c>
      <c r="X162" s="455">
        <f t="shared" si="29"/>
        <v>19218</v>
      </c>
      <c r="Y162" s="455">
        <f t="shared" si="29"/>
        <v>19597</v>
      </c>
      <c r="Z162" s="380"/>
    </row>
    <row r="163" spans="18:26">
      <c r="R163" s="441" t="s">
        <v>4</v>
      </c>
      <c r="S163" s="455">
        <f t="shared" si="29"/>
        <v>217221</v>
      </c>
      <c r="T163" s="455">
        <f t="shared" si="29"/>
        <v>226986</v>
      </c>
      <c r="U163" s="455">
        <f t="shared" si="29"/>
        <v>218917</v>
      </c>
      <c r="V163" s="455">
        <f t="shared" si="29"/>
        <v>216641</v>
      </c>
      <c r="W163" s="455">
        <f t="shared" si="29"/>
        <v>213154</v>
      </c>
      <c r="X163" s="455">
        <f t="shared" si="29"/>
        <v>207768</v>
      </c>
      <c r="Y163" s="455">
        <f t="shared" si="29"/>
        <v>201682</v>
      </c>
      <c r="Z163" s="380"/>
    </row>
    <row r="164" spans="18:26">
      <c r="R164" s="441" t="s">
        <v>14</v>
      </c>
      <c r="S164" s="455">
        <f t="shared" si="29"/>
        <v>4202</v>
      </c>
      <c r="T164" s="455">
        <f t="shared" si="29"/>
        <v>3993</v>
      </c>
      <c r="U164" s="455">
        <f t="shared" si="29"/>
        <v>3738</v>
      </c>
      <c r="V164" s="455">
        <f t="shared" si="29"/>
        <v>3697</v>
      </c>
      <c r="W164" s="455">
        <f t="shared" si="29"/>
        <v>3618</v>
      </c>
      <c r="X164" s="455">
        <f t="shared" si="29"/>
        <v>3707</v>
      </c>
      <c r="Y164" s="455">
        <f t="shared" si="29"/>
        <v>3197</v>
      </c>
      <c r="Z164" s="380"/>
    </row>
    <row r="165" spans="18:26">
      <c r="R165" s="442" t="s">
        <v>17</v>
      </c>
      <c r="S165" s="455">
        <f t="shared" si="29"/>
        <v>191614</v>
      </c>
      <c r="T165" s="455">
        <f t="shared" si="29"/>
        <v>190069</v>
      </c>
      <c r="U165" s="455">
        <f t="shared" si="29"/>
        <v>197505</v>
      </c>
      <c r="V165" s="455">
        <f t="shared" si="29"/>
        <v>192057</v>
      </c>
      <c r="W165" s="455">
        <f t="shared" si="29"/>
        <v>189170</v>
      </c>
      <c r="X165" s="455">
        <f t="shared" si="29"/>
        <v>179849</v>
      </c>
      <c r="Y165" s="455">
        <f t="shared" si="29"/>
        <v>168454</v>
      </c>
      <c r="Z165" s="380"/>
    </row>
    <row r="166" spans="18:26">
      <c r="R166" s="441" t="s">
        <v>316</v>
      </c>
      <c r="S166" s="455">
        <f t="shared" si="29"/>
        <v>12657</v>
      </c>
      <c r="T166" s="455">
        <f t="shared" si="29"/>
        <v>12780</v>
      </c>
      <c r="U166" s="455">
        <f t="shared" si="29"/>
        <v>12848</v>
      </c>
      <c r="V166" s="455">
        <f t="shared" si="29"/>
        <v>12971</v>
      </c>
      <c r="W166" s="455">
        <f t="shared" si="29"/>
        <v>12623</v>
      </c>
      <c r="X166" s="455">
        <f t="shared" si="29"/>
        <v>13988</v>
      </c>
      <c r="Y166" s="455">
        <f t="shared" si="29"/>
        <v>15012</v>
      </c>
      <c r="Z166" s="380"/>
    </row>
    <row r="167" spans="18:26">
      <c r="R167" s="441" t="s">
        <v>7</v>
      </c>
      <c r="S167" s="455">
        <f t="shared" si="29"/>
        <v>115257</v>
      </c>
      <c r="T167" s="455">
        <f t="shared" si="29"/>
        <v>122092</v>
      </c>
      <c r="U167" s="455">
        <f t="shared" si="29"/>
        <v>129735</v>
      </c>
      <c r="V167" s="455">
        <f t="shared" si="29"/>
        <v>144538</v>
      </c>
      <c r="W167" s="455">
        <f t="shared" si="29"/>
        <v>153604</v>
      </c>
      <c r="X167" s="455">
        <f t="shared" si="29"/>
        <v>155254</v>
      </c>
      <c r="Y167" s="455">
        <f t="shared" si="29"/>
        <v>157791</v>
      </c>
      <c r="Z167" s="380"/>
    </row>
    <row r="168" spans="18:26">
      <c r="R168" s="441" t="s">
        <v>514</v>
      </c>
      <c r="S168" s="455">
        <f t="shared" ref="S168:Y168" si="30">SUM(S144,S121,S95,S74,S51,S29)+S16</f>
        <v>95548</v>
      </c>
      <c r="T168" s="455">
        <f t="shared" si="30"/>
        <v>91134</v>
      </c>
      <c r="U168" s="455">
        <f t="shared" si="30"/>
        <v>90828</v>
      </c>
      <c r="V168" s="455">
        <f t="shared" si="30"/>
        <v>86329</v>
      </c>
      <c r="W168" s="455">
        <f t="shared" si="30"/>
        <v>80021</v>
      </c>
      <c r="X168" s="455">
        <f t="shared" si="30"/>
        <v>72854</v>
      </c>
      <c r="Y168" s="455">
        <f t="shared" si="30"/>
        <v>65251</v>
      </c>
      <c r="Z168" s="380"/>
    </row>
    <row r="169" spans="18:26">
      <c r="R169" s="442" t="s">
        <v>515</v>
      </c>
      <c r="S169" s="455">
        <f t="shared" ref="S169:Y169" si="31">SUM(S145,S122,S96,S75,S52,S30)</f>
        <v>27131</v>
      </c>
      <c r="T169" s="455">
        <f t="shared" si="31"/>
        <v>26825</v>
      </c>
      <c r="U169" s="455">
        <f t="shared" si="31"/>
        <v>24929</v>
      </c>
      <c r="V169" s="455">
        <f t="shared" si="31"/>
        <v>25305</v>
      </c>
      <c r="W169" s="455">
        <f t="shared" si="31"/>
        <v>21267</v>
      </c>
      <c r="X169" s="455">
        <f t="shared" si="31"/>
        <v>21473</v>
      </c>
      <c r="Y169" s="455">
        <f t="shared" si="31"/>
        <v>21151</v>
      </c>
      <c r="Z169" s="380"/>
    </row>
    <row r="170" spans="18:26">
      <c r="W170" s="380"/>
      <c r="X170" s="380"/>
      <c r="Y170" s="380"/>
      <c r="Z170" s="380"/>
    </row>
    <row r="171" spans="18:26">
      <c r="W171" s="380"/>
      <c r="X171" s="380"/>
      <c r="Y171" s="380"/>
      <c r="Z171" s="380"/>
    </row>
    <row r="172" spans="18:26">
      <c r="W172" s="380"/>
      <c r="X172" s="380"/>
      <c r="Y172" s="380"/>
      <c r="Z172" s="380"/>
    </row>
    <row r="173" spans="18:26">
      <c r="W173" s="380"/>
      <c r="X173" s="380"/>
      <c r="Y173" s="380"/>
      <c r="Z173" s="380"/>
    </row>
    <row r="174" spans="18:26">
      <c r="W174" s="380"/>
      <c r="X174" s="380"/>
      <c r="Y174" s="380"/>
      <c r="Z174" s="380"/>
    </row>
    <row r="175" spans="18:26">
      <c r="W175" s="380"/>
      <c r="X175" s="380"/>
      <c r="Y175" s="380"/>
      <c r="Z175" s="380"/>
    </row>
    <row r="176" spans="18:26">
      <c r="W176" s="380"/>
      <c r="X176" s="380"/>
      <c r="Y176" s="380"/>
      <c r="Z176" s="380"/>
    </row>
    <row r="177" spans="23:26">
      <c r="W177" s="380"/>
      <c r="X177" s="380"/>
      <c r="Y177" s="380"/>
      <c r="Z177" s="380"/>
    </row>
    <row r="178" spans="23:26">
      <c r="W178" s="380"/>
      <c r="X178" s="380"/>
      <c r="Y178" s="380"/>
      <c r="Z178" s="380"/>
    </row>
    <row r="179" spans="23:26">
      <c r="W179" s="380"/>
      <c r="X179" s="380"/>
      <c r="Y179" s="380"/>
      <c r="Z179" s="380"/>
    </row>
    <row r="180" spans="23:26">
      <c r="W180" s="380"/>
      <c r="X180" s="380"/>
      <c r="Y180" s="380"/>
      <c r="Z180" s="380"/>
    </row>
    <row r="181" spans="23:26">
      <c r="W181" s="380"/>
      <c r="X181" s="380"/>
      <c r="Y181" s="380"/>
      <c r="Z181" s="380"/>
    </row>
    <row r="182" spans="23:26">
      <c r="W182" s="380"/>
      <c r="X182" s="380"/>
      <c r="Y182" s="380"/>
      <c r="Z182" s="380"/>
    </row>
    <row r="183" spans="23:26">
      <c r="W183" s="380"/>
      <c r="X183" s="380"/>
      <c r="Y183" s="380"/>
      <c r="Z183" s="380"/>
    </row>
    <row r="184" spans="23:26">
      <c r="W184" s="380"/>
      <c r="X184" s="380"/>
      <c r="Y184" s="380"/>
      <c r="Z184" s="380"/>
    </row>
    <row r="185" spans="23:26">
      <c r="W185" s="380"/>
      <c r="X185" s="380"/>
      <c r="Y185" s="380"/>
      <c r="Z185" s="380"/>
    </row>
    <row r="186" spans="23:26">
      <c r="W186" s="380"/>
      <c r="X186" s="380"/>
      <c r="Y186" s="380"/>
      <c r="Z186" s="380"/>
    </row>
    <row r="187" spans="23:26">
      <c r="W187" s="380"/>
      <c r="X187" s="380"/>
      <c r="Y187" s="380"/>
      <c r="Z187" s="380"/>
    </row>
    <row r="188" spans="23:26">
      <c r="W188" s="380"/>
      <c r="X188" s="380"/>
      <c r="Y188" s="380"/>
      <c r="Z188" s="380"/>
    </row>
    <row r="189" spans="23:26">
      <c r="W189" s="380"/>
      <c r="X189" s="380"/>
      <c r="Y189" s="380"/>
      <c r="Z189" s="380"/>
    </row>
    <row r="190" spans="23:26">
      <c r="W190" s="380"/>
      <c r="X190" s="380"/>
      <c r="Y190" s="380"/>
      <c r="Z190" s="380"/>
    </row>
    <row r="191" spans="23:26">
      <c r="W191" s="380"/>
      <c r="X191" s="380"/>
      <c r="Y191" s="380"/>
      <c r="Z191" s="380"/>
    </row>
    <row r="192" spans="23:26">
      <c r="W192" s="380"/>
      <c r="X192" s="380"/>
      <c r="Y192" s="380"/>
      <c r="Z192" s="380"/>
    </row>
    <row r="193" spans="23:26">
      <c r="W193" s="380"/>
      <c r="X193" s="380"/>
      <c r="Y193" s="380"/>
      <c r="Z193" s="380"/>
    </row>
    <row r="194" spans="23:26">
      <c r="W194" s="380"/>
      <c r="X194" s="380"/>
      <c r="Y194" s="380"/>
      <c r="Z194" s="380"/>
    </row>
    <row r="195" spans="23:26">
      <c r="W195" s="380"/>
      <c r="X195" s="380"/>
      <c r="Y195" s="380"/>
      <c r="Z195" s="380"/>
    </row>
    <row r="196" spans="23:26">
      <c r="W196" s="380"/>
      <c r="X196" s="380"/>
      <c r="Y196" s="380"/>
      <c r="Z196" s="380"/>
    </row>
    <row r="197" spans="23:26">
      <c r="W197" s="380"/>
      <c r="X197" s="380"/>
      <c r="Y197" s="380"/>
      <c r="Z197" s="380"/>
    </row>
    <row r="198" spans="23:26">
      <c r="W198" s="380"/>
      <c r="X198" s="380"/>
      <c r="Y198" s="380"/>
      <c r="Z198" s="380"/>
    </row>
    <row r="199" spans="23:26">
      <c r="W199" s="380"/>
      <c r="X199" s="380"/>
      <c r="Y199" s="380"/>
      <c r="Z199" s="380"/>
    </row>
    <row r="200" spans="23:26">
      <c r="W200" s="380"/>
      <c r="X200" s="380"/>
      <c r="Y200" s="380"/>
      <c r="Z200" s="380"/>
    </row>
    <row r="201" spans="23:26">
      <c r="W201" s="380"/>
      <c r="X201" s="380"/>
      <c r="Y201" s="380"/>
      <c r="Z201" s="380"/>
    </row>
    <row r="202" spans="23:26">
      <c r="W202" s="380"/>
      <c r="X202" s="380"/>
      <c r="Y202" s="380"/>
      <c r="Z202" s="380"/>
    </row>
    <row r="203" spans="23:26">
      <c r="W203" s="380"/>
      <c r="X203" s="380"/>
      <c r="Y203" s="380"/>
      <c r="Z203" s="380"/>
    </row>
    <row r="204" spans="23:26">
      <c r="W204" s="380"/>
      <c r="X204" s="380"/>
      <c r="Y204" s="380"/>
      <c r="Z204" s="380"/>
    </row>
    <row r="205" spans="23:26">
      <c r="W205" s="380"/>
      <c r="X205" s="380"/>
      <c r="Y205" s="380"/>
      <c r="Z205" s="380"/>
    </row>
    <row r="206" spans="23:26">
      <c r="W206" s="380"/>
      <c r="X206" s="380"/>
      <c r="Y206" s="380"/>
      <c r="Z206" s="380"/>
    </row>
    <row r="207" spans="23:26">
      <c r="W207" s="380"/>
      <c r="X207" s="380"/>
      <c r="Y207" s="380"/>
      <c r="Z207" s="380"/>
    </row>
    <row r="208" spans="23:26">
      <c r="W208" s="380"/>
      <c r="X208" s="380"/>
      <c r="Y208" s="380"/>
      <c r="Z208" s="380"/>
    </row>
    <row r="209" spans="23:26">
      <c r="W209" s="380"/>
      <c r="X209" s="380"/>
      <c r="Y209" s="380"/>
      <c r="Z209" s="380"/>
    </row>
    <row r="210" spans="23:26">
      <c r="W210" s="380"/>
      <c r="X210" s="380"/>
      <c r="Y210" s="380"/>
      <c r="Z210" s="380"/>
    </row>
    <row r="211" spans="23:26">
      <c r="W211" s="380"/>
      <c r="X211" s="380"/>
      <c r="Y211" s="380"/>
      <c r="Z211" s="380"/>
    </row>
  </sheetData>
  <mergeCells count="1">
    <mergeCell ref="D4:D6"/>
  </mergeCells>
  <dataValidations disablePrompts="1" count="2">
    <dataValidation type="decimal" allowBlank="1" showInputMessage="1" showErrorMessage="1" error="Must be 15% to 40%" prompt="Must be 15% to 40%" sqref="D4:E6">
      <formula1>0.15</formula1>
      <formula2>0.4</formula2>
    </dataValidation>
    <dataValidation type="decimal" allowBlank="1" showInputMessage="1" showErrorMessage="1" error="Must be 0% to 5%" prompt="Between 0% and 5%" sqref="D7:E7">
      <formula1>0</formula1>
      <formula2>0.05</formula2>
    </dataValidation>
  </dataValidation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6"/>
  <sheetViews>
    <sheetView workbookViewId="0">
      <selection activeCell="B7" sqref="B7"/>
    </sheetView>
  </sheetViews>
  <sheetFormatPr defaultColWidth="11" defaultRowHeight="15.75"/>
  <sheetData>
    <row r="1" spans="1:7">
      <c r="A1" t="s">
        <v>1906</v>
      </c>
    </row>
    <row r="3" spans="1:7">
      <c r="A3" s="1857">
        <v>43634</v>
      </c>
    </row>
    <row r="4" spans="1:7">
      <c r="A4" t="s">
        <v>1907</v>
      </c>
      <c r="B4" t="s">
        <v>1908</v>
      </c>
      <c r="G4" t="s">
        <v>1910</v>
      </c>
    </row>
    <row r="5" spans="1:7">
      <c r="A5" t="s">
        <v>1907</v>
      </c>
      <c r="B5" t="s">
        <v>1909</v>
      </c>
    </row>
    <row r="6" spans="1:7">
      <c r="A6" t="s">
        <v>1907</v>
      </c>
      <c r="B6" t="s">
        <v>1926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2"/>
  <sheetViews>
    <sheetView workbookViewId="0">
      <selection activeCell="D13" sqref="D13"/>
    </sheetView>
  </sheetViews>
  <sheetFormatPr defaultColWidth="11" defaultRowHeight="15.75"/>
  <cols>
    <col min="1" max="1" width="21.5" customWidth="1"/>
    <col min="8" max="8" width="12.125" customWidth="1"/>
  </cols>
  <sheetData>
    <row r="1" spans="1:30">
      <c r="A1" s="10" t="s">
        <v>540</v>
      </c>
      <c r="G1" s="1" t="s">
        <v>792</v>
      </c>
      <c r="N1" s="990"/>
    </row>
    <row r="2" spans="1:30">
      <c r="G2" s="1" t="s">
        <v>793</v>
      </c>
    </row>
    <row r="4" spans="1:30" ht="16.5" thickBot="1"/>
    <row r="5" spans="1:30" ht="16.5" thickBot="1">
      <c r="A5" s="477" t="s">
        <v>538</v>
      </c>
      <c r="B5" s="478"/>
      <c r="C5" s="909">
        <f>'Dashboard-Academic Allocation'!D23</f>
        <v>795922.87451591121</v>
      </c>
    </row>
    <row r="6" spans="1:30">
      <c r="J6" t="s">
        <v>1650</v>
      </c>
      <c r="V6" t="s">
        <v>1651</v>
      </c>
    </row>
    <row r="8" spans="1:30">
      <c r="J8" t="s">
        <v>511</v>
      </c>
      <c r="O8">
        <v>0</v>
      </c>
      <c r="P8">
        <v>18</v>
      </c>
      <c r="Q8">
        <v>75</v>
      </c>
      <c r="V8" t="s">
        <v>511</v>
      </c>
      <c r="AA8">
        <v>0</v>
      </c>
      <c r="AB8">
        <v>18</v>
      </c>
      <c r="AC8">
        <v>75</v>
      </c>
    </row>
    <row r="10" spans="1:30" ht="19.5">
      <c r="A10" t="s">
        <v>794</v>
      </c>
      <c r="J10" s="1417"/>
      <c r="K10" s="1418" t="s">
        <v>507</v>
      </c>
      <c r="L10" s="1418" t="s">
        <v>508</v>
      </c>
      <c r="M10" s="1418" t="s">
        <v>509</v>
      </c>
      <c r="N10" s="1419" t="s">
        <v>823</v>
      </c>
      <c r="O10" s="1419" t="s">
        <v>962</v>
      </c>
      <c r="P10" s="1419" t="s">
        <v>1475</v>
      </c>
      <c r="Q10" s="1419" t="s">
        <v>1571</v>
      </c>
      <c r="R10" s="214"/>
      <c r="S10" s="1419" t="s">
        <v>1192</v>
      </c>
      <c r="V10" s="1705"/>
      <c r="W10" s="1706" t="s">
        <v>507</v>
      </c>
      <c r="X10" s="1706" t="s">
        <v>508</v>
      </c>
      <c r="Y10" s="1706" t="s">
        <v>509</v>
      </c>
      <c r="Z10" s="1707" t="s">
        <v>823</v>
      </c>
      <c r="AA10" s="1707" t="s">
        <v>962</v>
      </c>
      <c r="AB10" s="1707" t="s">
        <v>1475</v>
      </c>
      <c r="AC10" s="1707" t="s">
        <v>1571</v>
      </c>
    </row>
    <row r="11" spans="1:30" ht="25.5">
      <c r="A11" s="459"/>
      <c r="B11" s="460" t="s">
        <v>1244</v>
      </c>
      <c r="C11" s="460" t="s">
        <v>1661</v>
      </c>
      <c r="D11" s="460" t="s">
        <v>1583</v>
      </c>
      <c r="F11" s="460" t="s">
        <v>1478</v>
      </c>
      <c r="G11" s="460" t="s">
        <v>1660</v>
      </c>
      <c r="H11" s="460" t="s">
        <v>1582</v>
      </c>
      <c r="J11" s="947" t="s">
        <v>539</v>
      </c>
      <c r="K11" s="1420"/>
      <c r="L11" s="1420"/>
      <c r="M11" s="1420"/>
      <c r="N11" s="1420"/>
      <c r="O11" s="1420"/>
      <c r="P11" s="1420"/>
      <c r="Q11" s="1420"/>
      <c r="R11" s="1421"/>
      <c r="S11" s="1421"/>
      <c r="V11" s="1708" t="s">
        <v>539</v>
      </c>
      <c r="W11" s="1709"/>
      <c r="X11" s="1709"/>
      <c r="Y11" s="1709"/>
      <c r="Z11" s="1709"/>
      <c r="AA11" s="1709"/>
      <c r="AB11" s="1709"/>
      <c r="AC11" s="1709"/>
    </row>
    <row r="12" spans="1:30">
      <c r="A12" s="461" t="s">
        <v>513</v>
      </c>
      <c r="B12" s="435">
        <f>F12*C$5</f>
        <v>12673.820842846357</v>
      </c>
      <c r="C12" s="435">
        <f t="shared" ref="C12:C23" si="0">G12*C$5</f>
        <v>15921.015083102659</v>
      </c>
      <c r="D12" s="435">
        <f>H12*C$5</f>
        <v>14872.395354384815</v>
      </c>
      <c r="F12" s="487">
        <f>SUM(O12,M12,N12)/SUM(O$31,M$31,N$31)</f>
        <v>1.592342832281923E-2</v>
      </c>
      <c r="G12" s="487">
        <f>SUM(P12,N12,O12)/SUM(P$31,N$31,O$31)</f>
        <v>2.0003213367609254E-2</v>
      </c>
      <c r="H12" s="487">
        <f>(O12+P12+Q12+S12)/(O$31+P$31+Q$31+S$31)</f>
        <v>1.8685724246121665E-2</v>
      </c>
      <c r="J12" s="461" t="s">
        <v>513</v>
      </c>
      <c r="K12" s="482">
        <v>87</v>
      </c>
      <c r="L12" s="482">
        <v>71</v>
      </c>
      <c r="M12" s="482">
        <v>61</v>
      </c>
      <c r="N12" s="435">
        <f t="shared" ref="N12:N23" si="1">SUM(K38,K63)</f>
        <v>153</v>
      </c>
      <c r="O12" s="435">
        <f t="shared" ref="O12:O23" si="2">SUM(L38,L63)</f>
        <v>152</v>
      </c>
      <c r="P12" s="435">
        <f t="shared" ref="P12:P23" si="3">SUM(M38,M63)</f>
        <v>193</v>
      </c>
      <c r="Q12" s="1636">
        <f t="shared" ref="Q12:Q23" si="4">SUM(N38,N63)</f>
        <v>191</v>
      </c>
      <c r="R12" s="484"/>
      <c r="S12" s="484">
        <f>3*'What If Data'!T25</f>
        <v>0</v>
      </c>
      <c r="T12" s="1625"/>
      <c r="V12" s="461" t="s">
        <v>513</v>
      </c>
      <c r="W12" s="482">
        <v>87</v>
      </c>
      <c r="X12" s="482">
        <v>71</v>
      </c>
      <c r="Y12" s="482">
        <v>61</v>
      </c>
      <c r="Z12" s="435">
        <v>88</v>
      </c>
      <c r="AA12" s="435">
        <v>65</v>
      </c>
      <c r="AB12" s="435">
        <v>83</v>
      </c>
      <c r="AC12" s="1636">
        <f>AB12</f>
        <v>83</v>
      </c>
      <c r="AD12" s="1625"/>
    </row>
    <row r="13" spans="1:30">
      <c r="A13" s="461" t="s">
        <v>6</v>
      </c>
      <c r="B13" s="435">
        <f t="shared" ref="B13:B29" si="5">F13*C$5</f>
        <v>31442.156626515003</v>
      </c>
      <c r="C13" s="435">
        <f t="shared" si="0"/>
        <v>67904.088426727001</v>
      </c>
      <c r="D13" s="435">
        <f t="shared" ref="D13:D23" si="6">H13*C$5</f>
        <v>112403.12235188972</v>
      </c>
      <c r="F13" s="487">
        <f t="shared" ref="F13:F23" si="7">SUM(O13,M13,N13)/SUM(O$31,M$31,N$31)</f>
        <v>3.9504024363715466E-2</v>
      </c>
      <c r="G13" s="487">
        <f t="shared" ref="G13:G23" si="8">SUM(P13,N13,O13)/SUM(P$31,N$31,O$31)</f>
        <v>8.5314910025706944E-2</v>
      </c>
      <c r="H13" s="487">
        <f t="shared" ref="H13:H23" si="9">(O13+P13+Q13+S13)/(O$31+P$31+Q$31+S$31)</f>
        <v>0.14122363604671431</v>
      </c>
      <c r="J13" s="461" t="s">
        <v>6</v>
      </c>
      <c r="K13" s="482">
        <v>212</v>
      </c>
      <c r="L13" s="482">
        <v>176</v>
      </c>
      <c r="M13" s="482">
        <v>208</v>
      </c>
      <c r="N13" s="435">
        <f t="shared" si="1"/>
        <v>187</v>
      </c>
      <c r="O13" s="435">
        <f t="shared" si="2"/>
        <v>513</v>
      </c>
      <c r="P13" s="435">
        <f t="shared" si="3"/>
        <v>1424</v>
      </c>
      <c r="Q13" s="1636">
        <f t="shared" si="4"/>
        <v>2114</v>
      </c>
      <c r="R13" s="484"/>
      <c r="S13" s="484">
        <f>3*'What If Data'!T26</f>
        <v>0</v>
      </c>
      <c r="T13" s="1625"/>
      <c r="V13" s="461" t="s">
        <v>6</v>
      </c>
      <c r="W13" s="482">
        <v>212</v>
      </c>
      <c r="X13" s="482">
        <v>176</v>
      </c>
      <c r="Y13" s="482">
        <v>208</v>
      </c>
      <c r="Z13" s="435">
        <v>132</v>
      </c>
      <c r="AA13" s="435">
        <v>439</v>
      </c>
      <c r="AB13" s="435">
        <v>1360</v>
      </c>
      <c r="AC13" s="1636">
        <f>AB13</f>
        <v>1360</v>
      </c>
      <c r="AD13" s="1625"/>
    </row>
    <row r="14" spans="1:30">
      <c r="A14" s="461" t="s">
        <v>8</v>
      </c>
      <c r="B14" s="435">
        <f t="shared" si="5"/>
        <v>0</v>
      </c>
      <c r="C14" s="435">
        <f t="shared" si="0"/>
        <v>0</v>
      </c>
      <c r="D14" s="435">
        <f t="shared" si="6"/>
        <v>1859.0494192981018</v>
      </c>
      <c r="F14" s="487">
        <f t="shared" si="7"/>
        <v>0</v>
      </c>
      <c r="G14" s="487">
        <f t="shared" si="8"/>
        <v>0</v>
      </c>
      <c r="H14" s="487">
        <f t="shared" si="9"/>
        <v>2.3357155307652082E-3</v>
      </c>
      <c r="J14" s="461" t="s">
        <v>8</v>
      </c>
      <c r="K14" s="482">
        <v>8</v>
      </c>
      <c r="L14" s="482">
        <v>8</v>
      </c>
      <c r="M14" s="482">
        <v>0</v>
      </c>
      <c r="N14" s="435">
        <f t="shared" si="1"/>
        <v>0</v>
      </c>
      <c r="O14" s="435">
        <f t="shared" si="2"/>
        <v>0</v>
      </c>
      <c r="P14" s="435">
        <f t="shared" si="3"/>
        <v>0</v>
      </c>
      <c r="Q14" s="435">
        <f t="shared" si="4"/>
        <v>67</v>
      </c>
      <c r="R14" s="484"/>
      <c r="S14" s="484">
        <f>3*'What If Data'!T27</f>
        <v>0</v>
      </c>
      <c r="T14" s="1625"/>
      <c r="V14" s="461" t="s">
        <v>8</v>
      </c>
      <c r="W14" s="482">
        <v>8</v>
      </c>
      <c r="X14" s="482">
        <v>8</v>
      </c>
      <c r="Y14" s="482">
        <v>0</v>
      </c>
      <c r="Z14" s="435">
        <v>0</v>
      </c>
      <c r="AA14" s="435">
        <v>0</v>
      </c>
      <c r="AB14" s="435"/>
      <c r="AC14" s="435"/>
      <c r="AD14" s="1625"/>
    </row>
    <row r="15" spans="1:30">
      <c r="A15" s="463" t="s">
        <v>2</v>
      </c>
      <c r="B15" s="443">
        <f t="shared" si="5"/>
        <v>1696.7683642062061</v>
      </c>
      <c r="C15" s="443">
        <f t="shared" si="0"/>
        <v>2557.5927844341622</v>
      </c>
      <c r="D15" s="443">
        <f t="shared" si="6"/>
        <v>2081.0254693635466</v>
      </c>
      <c r="F15" s="489">
        <f t="shared" si="7"/>
        <v>2.1318251033282574E-3</v>
      </c>
      <c r="G15" s="489">
        <f t="shared" si="8"/>
        <v>3.2133676092544988E-3</v>
      </c>
      <c r="H15" s="487">
        <f t="shared" si="9"/>
        <v>2.6146069374237404E-3</v>
      </c>
      <c r="J15" s="463" t="s">
        <v>2</v>
      </c>
      <c r="K15" s="482">
        <v>33</v>
      </c>
      <c r="L15" s="482">
        <v>33</v>
      </c>
      <c r="M15" s="482">
        <v>0</v>
      </c>
      <c r="N15" s="435">
        <f t="shared" si="1"/>
        <v>31</v>
      </c>
      <c r="O15" s="435">
        <f t="shared" si="2"/>
        <v>18</v>
      </c>
      <c r="P15" s="435">
        <f t="shared" si="3"/>
        <v>31</v>
      </c>
      <c r="Q15" s="1636">
        <f t="shared" si="4"/>
        <v>26</v>
      </c>
      <c r="R15" s="484"/>
      <c r="S15" s="484">
        <f>3*'What If Data'!T28</f>
        <v>0</v>
      </c>
      <c r="T15" s="1625"/>
      <c r="V15" s="463" t="s">
        <v>2</v>
      </c>
      <c r="W15" s="482">
        <v>33</v>
      </c>
      <c r="X15" s="482">
        <v>33</v>
      </c>
      <c r="Y15" s="482">
        <v>0</v>
      </c>
      <c r="Z15" s="435">
        <v>21</v>
      </c>
      <c r="AA15" s="435">
        <v>9</v>
      </c>
      <c r="AB15" s="435">
        <v>12</v>
      </c>
      <c r="AC15" s="1636">
        <f>AB15</f>
        <v>12</v>
      </c>
      <c r="AD15" s="1625"/>
    </row>
    <row r="16" spans="1:30">
      <c r="A16" s="461" t="s">
        <v>10</v>
      </c>
      <c r="B16" s="435">
        <f t="shared" si="5"/>
        <v>0</v>
      </c>
      <c r="C16" s="435">
        <f t="shared" si="0"/>
        <v>0</v>
      </c>
      <c r="D16" s="435">
        <f t="shared" si="6"/>
        <v>0</v>
      </c>
      <c r="F16" s="487">
        <f t="shared" si="7"/>
        <v>0</v>
      </c>
      <c r="G16" s="487">
        <f t="shared" si="8"/>
        <v>0</v>
      </c>
      <c r="H16" s="487">
        <f t="shared" si="9"/>
        <v>0</v>
      </c>
      <c r="J16" s="461" t="s">
        <v>10</v>
      </c>
      <c r="K16" s="481">
        <v>0</v>
      </c>
      <c r="L16" s="481">
        <v>0</v>
      </c>
      <c r="M16" s="481">
        <v>0</v>
      </c>
      <c r="N16" s="434">
        <f t="shared" si="1"/>
        <v>0</v>
      </c>
      <c r="O16" s="434">
        <f t="shared" si="2"/>
        <v>0</v>
      </c>
      <c r="P16" s="435">
        <f t="shared" si="3"/>
        <v>0</v>
      </c>
      <c r="Q16" s="435">
        <f t="shared" si="4"/>
        <v>0</v>
      </c>
      <c r="R16" s="484"/>
      <c r="S16" s="484">
        <f>3*'What If Data'!T29</f>
        <v>0</v>
      </c>
      <c r="T16" s="1625"/>
      <c r="V16" s="461" t="s">
        <v>10</v>
      </c>
      <c r="W16" s="481">
        <v>0</v>
      </c>
      <c r="X16" s="481">
        <v>0</v>
      </c>
      <c r="Y16" s="481">
        <v>0</v>
      </c>
      <c r="Z16" s="434">
        <v>0</v>
      </c>
      <c r="AA16" s="434">
        <v>0</v>
      </c>
      <c r="AB16" s="435"/>
      <c r="AC16" s="435"/>
      <c r="AD16" s="1625"/>
    </row>
    <row r="17" spans="1:30">
      <c r="A17" s="461" t="s">
        <v>4</v>
      </c>
      <c r="B17" s="435">
        <f t="shared" si="5"/>
        <v>308569.44680492865</v>
      </c>
      <c r="C17" s="435">
        <f t="shared" si="0"/>
        <v>306847.1943124886</v>
      </c>
      <c r="D17" s="435">
        <f t="shared" si="6"/>
        <v>296310.27983111091</v>
      </c>
      <c r="F17" s="487">
        <f t="shared" si="7"/>
        <v>0.38768762236241028</v>
      </c>
      <c r="G17" s="487">
        <f t="shared" si="8"/>
        <v>0.38552377892030848</v>
      </c>
      <c r="H17" s="487">
        <f t="shared" si="9"/>
        <v>0.37228516646330834</v>
      </c>
      <c r="J17" s="461" t="s">
        <v>4</v>
      </c>
      <c r="K17" s="482">
        <v>2376</v>
      </c>
      <c r="L17" s="482">
        <v>2524</v>
      </c>
      <c r="M17" s="482">
        <v>2639</v>
      </c>
      <c r="N17" s="435">
        <f t="shared" si="1"/>
        <v>3004</v>
      </c>
      <c r="O17" s="435">
        <f t="shared" si="2"/>
        <v>3268</v>
      </c>
      <c r="P17" s="435">
        <f t="shared" si="3"/>
        <v>3326</v>
      </c>
      <c r="Q17" s="1636">
        <f t="shared" si="4"/>
        <v>4085</v>
      </c>
      <c r="R17" s="484"/>
      <c r="S17" s="484">
        <f>3*'What If Data'!T30</f>
        <v>0</v>
      </c>
      <c r="T17" s="1625"/>
      <c r="V17" s="461" t="s">
        <v>4</v>
      </c>
      <c r="W17" s="482">
        <v>2376</v>
      </c>
      <c r="X17" s="482">
        <v>2524</v>
      </c>
      <c r="Y17" s="482">
        <v>2639</v>
      </c>
      <c r="Z17" s="435">
        <v>2636</v>
      </c>
      <c r="AA17" s="435">
        <v>2840</v>
      </c>
      <c r="AB17" s="435">
        <v>2826</v>
      </c>
      <c r="AC17" s="1636">
        <f>AB17</f>
        <v>2826</v>
      </c>
      <c r="AD17" s="1625"/>
    </row>
    <row r="18" spans="1:30">
      <c r="A18" s="461" t="s">
        <v>14</v>
      </c>
      <c r="B18" s="435">
        <f t="shared" si="5"/>
        <v>0</v>
      </c>
      <c r="C18" s="435">
        <f t="shared" si="0"/>
        <v>0</v>
      </c>
      <c r="D18" s="435">
        <f t="shared" si="6"/>
        <v>0</v>
      </c>
      <c r="F18" s="487">
        <f t="shared" si="7"/>
        <v>0</v>
      </c>
      <c r="G18" s="487">
        <f t="shared" si="8"/>
        <v>0</v>
      </c>
      <c r="H18" s="487">
        <f t="shared" si="9"/>
        <v>0</v>
      </c>
      <c r="J18" s="461" t="s">
        <v>14</v>
      </c>
      <c r="K18" s="481">
        <v>0</v>
      </c>
      <c r="L18" s="481">
        <v>0</v>
      </c>
      <c r="M18" s="481">
        <v>0</v>
      </c>
      <c r="N18" s="434">
        <f t="shared" si="1"/>
        <v>0</v>
      </c>
      <c r="O18" s="434">
        <f t="shared" si="2"/>
        <v>0</v>
      </c>
      <c r="P18" s="435">
        <f t="shared" si="3"/>
        <v>0</v>
      </c>
      <c r="Q18" s="435">
        <f t="shared" si="4"/>
        <v>0</v>
      </c>
      <c r="R18" s="484"/>
      <c r="S18" s="484">
        <f>3*'What If Data'!T31</f>
        <v>0</v>
      </c>
      <c r="T18" s="1625"/>
      <c r="V18" s="461" t="s">
        <v>14</v>
      </c>
      <c r="W18" s="481">
        <v>0</v>
      </c>
      <c r="X18" s="481">
        <v>0</v>
      </c>
      <c r="Y18" s="481">
        <v>0</v>
      </c>
      <c r="Z18" s="434">
        <v>0</v>
      </c>
      <c r="AA18" s="434">
        <v>0</v>
      </c>
      <c r="AB18" s="435"/>
      <c r="AC18" s="435"/>
      <c r="AD18" s="1625"/>
    </row>
    <row r="19" spans="1:30">
      <c r="A19" s="463" t="s">
        <v>17</v>
      </c>
      <c r="B19" s="443">
        <f t="shared" si="5"/>
        <v>140173.84363891272</v>
      </c>
      <c r="C19" s="443">
        <f t="shared" si="0"/>
        <v>138685.46873594244</v>
      </c>
      <c r="D19" s="443">
        <f t="shared" si="6"/>
        <v>128080.18088776177</v>
      </c>
      <c r="F19" s="489">
        <f t="shared" si="7"/>
        <v>0.17611485751577116</v>
      </c>
      <c r="G19" s="489">
        <f t="shared" si="8"/>
        <v>0.1742448586118252</v>
      </c>
      <c r="H19" s="487">
        <f t="shared" si="9"/>
        <v>0.16092034164197316</v>
      </c>
      <c r="J19" s="463" t="s">
        <v>17</v>
      </c>
      <c r="K19" s="482">
        <v>1082</v>
      </c>
      <c r="L19" s="482">
        <v>1284</v>
      </c>
      <c r="M19" s="482">
        <v>1216</v>
      </c>
      <c r="N19" s="435">
        <f t="shared" si="1"/>
        <v>1309</v>
      </c>
      <c r="O19" s="435">
        <f t="shared" si="2"/>
        <v>1523</v>
      </c>
      <c r="P19" s="435">
        <f t="shared" si="3"/>
        <v>1506</v>
      </c>
      <c r="Q19" s="1636">
        <f t="shared" si="4"/>
        <v>1587</v>
      </c>
      <c r="R19" s="484"/>
      <c r="S19" s="484">
        <f>3*'What If Data'!T32</f>
        <v>0</v>
      </c>
      <c r="T19" s="1625"/>
      <c r="V19" s="463" t="s">
        <v>17</v>
      </c>
      <c r="W19" s="482">
        <v>1082</v>
      </c>
      <c r="X19" s="482">
        <v>1284</v>
      </c>
      <c r="Y19" s="482">
        <v>1216</v>
      </c>
      <c r="Z19" s="435">
        <v>1193</v>
      </c>
      <c r="AA19" s="435">
        <v>1348</v>
      </c>
      <c r="AB19" s="435">
        <v>1339</v>
      </c>
      <c r="AC19" s="1636">
        <f>AB19</f>
        <v>1339</v>
      </c>
      <c r="AD19" s="1625"/>
    </row>
    <row r="20" spans="1:30">
      <c r="A20" s="461" t="s">
        <v>316</v>
      </c>
      <c r="B20" s="435">
        <f t="shared" si="5"/>
        <v>0</v>
      </c>
      <c r="C20" s="435">
        <f t="shared" si="0"/>
        <v>0</v>
      </c>
      <c r="D20" s="435">
        <f t="shared" si="6"/>
        <v>0</v>
      </c>
      <c r="F20" s="487">
        <f t="shared" si="7"/>
        <v>0</v>
      </c>
      <c r="G20" s="487">
        <f t="shared" si="8"/>
        <v>0</v>
      </c>
      <c r="H20" s="487">
        <f t="shared" si="9"/>
        <v>0</v>
      </c>
      <c r="J20" s="461" t="s">
        <v>316</v>
      </c>
      <c r="K20" s="481">
        <v>0</v>
      </c>
      <c r="L20" s="481">
        <v>0</v>
      </c>
      <c r="M20" s="481">
        <v>0</v>
      </c>
      <c r="N20" s="434">
        <f t="shared" si="1"/>
        <v>0</v>
      </c>
      <c r="O20" s="434">
        <f t="shared" si="2"/>
        <v>0</v>
      </c>
      <c r="P20" s="435">
        <f t="shared" si="3"/>
        <v>0</v>
      </c>
      <c r="Q20" s="435">
        <f t="shared" si="4"/>
        <v>0</v>
      </c>
      <c r="R20" s="484"/>
      <c r="S20" s="484">
        <f>3*'What If Data'!T33</f>
        <v>0</v>
      </c>
      <c r="T20" s="1625"/>
      <c r="V20" s="461" t="s">
        <v>316</v>
      </c>
      <c r="W20" s="481">
        <v>0</v>
      </c>
      <c r="X20" s="481">
        <v>0</v>
      </c>
      <c r="Y20" s="481">
        <v>0</v>
      </c>
      <c r="Z20" s="434">
        <v>0</v>
      </c>
      <c r="AA20" s="434">
        <v>0</v>
      </c>
      <c r="AB20" s="435"/>
      <c r="AC20" s="435"/>
      <c r="AD20" s="1625"/>
    </row>
    <row r="21" spans="1:30">
      <c r="A21" s="461" t="s">
        <v>7</v>
      </c>
      <c r="B21" s="435">
        <f t="shared" si="5"/>
        <v>150215.94212094945</v>
      </c>
      <c r="C21" s="435">
        <f t="shared" si="0"/>
        <v>157387.86597211723</v>
      </c>
      <c r="D21" s="435">
        <f t="shared" si="6"/>
        <v>145061.3487177683</v>
      </c>
      <c r="F21" s="487">
        <f t="shared" si="7"/>
        <v>0.18873178159669349</v>
      </c>
      <c r="G21" s="487">
        <f t="shared" si="8"/>
        <v>0.19774260925449871</v>
      </c>
      <c r="H21" s="487">
        <f t="shared" si="9"/>
        <v>0.18225553425135088</v>
      </c>
      <c r="J21" s="461" t="s">
        <v>7</v>
      </c>
      <c r="K21" s="482">
        <v>736</v>
      </c>
      <c r="L21" s="482">
        <v>923</v>
      </c>
      <c r="M21" s="482">
        <v>1108</v>
      </c>
      <c r="N21" s="435">
        <f t="shared" si="1"/>
        <v>1455</v>
      </c>
      <c r="O21" s="435">
        <f t="shared" si="2"/>
        <v>1775</v>
      </c>
      <c r="P21" s="435">
        <f t="shared" si="3"/>
        <v>1693</v>
      </c>
      <c r="Q21" s="1636">
        <f t="shared" si="4"/>
        <v>1760</v>
      </c>
      <c r="R21" s="484"/>
      <c r="S21" s="484">
        <f>3*'What If Data'!T34</f>
        <v>0</v>
      </c>
      <c r="T21" s="1625"/>
      <c r="V21" s="461" t="s">
        <v>7</v>
      </c>
      <c r="W21" s="482">
        <v>736</v>
      </c>
      <c r="X21" s="482">
        <v>923</v>
      </c>
      <c r="Y21" s="482">
        <v>1108</v>
      </c>
      <c r="Z21" s="435">
        <v>1093</v>
      </c>
      <c r="AA21" s="435">
        <v>1332</v>
      </c>
      <c r="AB21" s="435">
        <v>1222</v>
      </c>
      <c r="AC21" s="1636">
        <f>AB21</f>
        <v>1222</v>
      </c>
      <c r="AD21" s="1625"/>
    </row>
    <row r="22" spans="1:30">
      <c r="A22" s="461" t="s">
        <v>9</v>
      </c>
      <c r="B22" s="435">
        <f t="shared" si="5"/>
        <v>16032.729645458643</v>
      </c>
      <c r="C22" s="435">
        <f t="shared" si="0"/>
        <v>16624.353098822055</v>
      </c>
      <c r="D22" s="435">
        <f t="shared" si="6"/>
        <v>14900.142360642996</v>
      </c>
      <c r="F22" s="487">
        <f t="shared" si="7"/>
        <v>2.0143571894713944E-2</v>
      </c>
      <c r="G22" s="487">
        <f t="shared" si="8"/>
        <v>2.0886889460154243E-2</v>
      </c>
      <c r="H22" s="487">
        <f t="shared" si="9"/>
        <v>1.8720585671953983E-2</v>
      </c>
      <c r="J22" s="461" t="s">
        <v>9</v>
      </c>
      <c r="K22" s="482">
        <v>51</v>
      </c>
      <c r="L22" s="482">
        <v>102</v>
      </c>
      <c r="M22" s="482">
        <v>120</v>
      </c>
      <c r="N22" s="435">
        <f t="shared" si="1"/>
        <v>196</v>
      </c>
      <c r="O22" s="435">
        <f t="shared" si="2"/>
        <v>147</v>
      </c>
      <c r="P22" s="435">
        <f t="shared" si="3"/>
        <v>177</v>
      </c>
      <c r="Q22" s="1636">
        <f t="shared" si="4"/>
        <v>213</v>
      </c>
      <c r="R22" s="484"/>
      <c r="S22" s="484">
        <f>3*'What If Data'!T35</f>
        <v>0</v>
      </c>
      <c r="T22" s="1625"/>
      <c r="V22" s="461" t="s">
        <v>9</v>
      </c>
      <c r="W22" s="482">
        <v>51</v>
      </c>
      <c r="X22" s="482">
        <v>102</v>
      </c>
      <c r="Y22" s="482">
        <v>120</v>
      </c>
      <c r="Z22" s="435">
        <v>132</v>
      </c>
      <c r="AA22" s="435">
        <v>81</v>
      </c>
      <c r="AB22" s="435">
        <v>90</v>
      </c>
      <c r="AC22" s="1636">
        <f>AB22</f>
        <v>90</v>
      </c>
      <c r="AD22" s="1625"/>
    </row>
    <row r="23" spans="1:30">
      <c r="A23" s="463" t="s">
        <v>5</v>
      </c>
      <c r="B23" s="443">
        <f t="shared" si="5"/>
        <v>8934.0048564326771</v>
      </c>
      <c r="C23" s="443">
        <f t="shared" si="0"/>
        <v>10518.100325985492</v>
      </c>
      <c r="D23" s="443">
        <f t="shared" si="6"/>
        <v>9822.4402153959418</v>
      </c>
      <c r="F23" s="489">
        <f t="shared" si="7"/>
        <v>1.1224711768544704E-2</v>
      </c>
      <c r="G23" s="489">
        <f t="shared" si="8"/>
        <v>1.3214974293059126E-2</v>
      </c>
      <c r="H23" s="487">
        <f t="shared" si="9"/>
        <v>1.2340944744640056E-2</v>
      </c>
      <c r="J23" s="463" t="s">
        <v>5</v>
      </c>
      <c r="K23" s="482">
        <v>62</v>
      </c>
      <c r="L23" s="482">
        <v>78</v>
      </c>
      <c r="M23" s="482">
        <v>93</v>
      </c>
      <c r="N23" s="435">
        <f t="shared" si="1"/>
        <v>82</v>
      </c>
      <c r="O23" s="435">
        <f t="shared" si="2"/>
        <v>83</v>
      </c>
      <c r="P23" s="435">
        <f t="shared" si="3"/>
        <v>164</v>
      </c>
      <c r="Q23" s="1636">
        <f t="shared" si="4"/>
        <v>107</v>
      </c>
      <c r="R23" s="484"/>
      <c r="S23" s="484">
        <f>3*'What If Data'!T36</f>
        <v>0</v>
      </c>
      <c r="T23" s="1625"/>
      <c r="V23" s="463" t="s">
        <v>5</v>
      </c>
      <c r="W23" s="482">
        <v>62</v>
      </c>
      <c r="X23" s="482">
        <v>78</v>
      </c>
      <c r="Y23" s="482">
        <v>93</v>
      </c>
      <c r="Z23" s="435">
        <v>66</v>
      </c>
      <c r="AA23" s="435">
        <v>60</v>
      </c>
      <c r="AB23" s="435">
        <v>113</v>
      </c>
      <c r="AC23" s="1636">
        <f>AB23</f>
        <v>113</v>
      </c>
      <c r="AD23" s="1625"/>
    </row>
    <row r="24" spans="1:30">
      <c r="A24" s="461"/>
      <c r="B24" s="452"/>
      <c r="C24" s="452"/>
      <c r="D24" s="452"/>
      <c r="F24" s="487"/>
      <c r="G24" s="487"/>
      <c r="H24" s="487"/>
      <c r="J24" s="441"/>
      <c r="K24" s="481"/>
      <c r="L24" s="481"/>
      <c r="M24" s="481"/>
      <c r="N24" s="434"/>
      <c r="O24" s="434"/>
      <c r="P24" s="434"/>
      <c r="Q24" s="434"/>
      <c r="V24" s="441"/>
      <c r="W24" s="481"/>
      <c r="X24" s="481"/>
      <c r="Y24" s="481"/>
      <c r="Z24" s="434"/>
      <c r="AA24" s="434"/>
      <c r="AB24" s="434"/>
      <c r="AC24" s="434"/>
    </row>
    <row r="25" spans="1:30">
      <c r="A25" s="461" t="s">
        <v>516</v>
      </c>
      <c r="B25" s="435">
        <f t="shared" si="5"/>
        <v>0</v>
      </c>
      <c r="C25" s="435">
        <f>G25*C$5</f>
        <v>0</v>
      </c>
      <c r="D25" s="435">
        <f>H25*C$5</f>
        <v>0</v>
      </c>
      <c r="F25" s="487">
        <f t="shared" ref="F25:G29" si="10">SUM(O25,M25,N25)/SUM(O$31,M$31,N$31)</f>
        <v>0</v>
      </c>
      <c r="G25" s="487">
        <f t="shared" si="10"/>
        <v>0</v>
      </c>
      <c r="H25" s="487">
        <f>(O25+P25+Q25+S25)/(O$31+P$31+Q$31+S$31)</f>
        <v>0</v>
      </c>
      <c r="J25" s="461" t="s">
        <v>516</v>
      </c>
      <c r="K25" s="481"/>
      <c r="L25" s="481"/>
      <c r="M25" s="481"/>
      <c r="N25" s="434">
        <f t="shared" ref="N25:Q28" si="11">SUM(K51,K76)</f>
        <v>0</v>
      </c>
      <c r="O25" s="434">
        <f t="shared" si="11"/>
        <v>0</v>
      </c>
      <c r="P25" s="434">
        <f t="shared" si="11"/>
        <v>0</v>
      </c>
      <c r="Q25" s="434">
        <f t="shared" si="11"/>
        <v>0</v>
      </c>
      <c r="T25" s="1625"/>
      <c r="V25" s="461" t="s">
        <v>516</v>
      </c>
      <c r="W25" s="481"/>
      <c r="X25" s="481"/>
      <c r="Y25" s="481"/>
      <c r="Z25" s="434"/>
      <c r="AA25" s="434"/>
      <c r="AB25" s="434"/>
      <c r="AC25" s="434"/>
      <c r="AD25" s="1625"/>
    </row>
    <row r="26" spans="1:30">
      <c r="A26" s="461" t="s">
        <v>537</v>
      </c>
      <c r="B26" s="435">
        <f t="shared" si="5"/>
        <v>0</v>
      </c>
      <c r="C26" s="435">
        <f>G26*C$5</f>
        <v>0</v>
      </c>
      <c r="D26" s="435">
        <f>H26*C$5</f>
        <v>0</v>
      </c>
      <c r="F26" s="487">
        <f t="shared" si="10"/>
        <v>0</v>
      </c>
      <c r="G26" s="487">
        <f t="shared" si="10"/>
        <v>0</v>
      </c>
      <c r="H26" s="487">
        <f>(O26+P26+Q26+S26)/(O$31+P$31+Q$31+S$31)</f>
        <v>0</v>
      </c>
      <c r="J26" s="461" t="s">
        <v>537</v>
      </c>
      <c r="K26" s="481"/>
      <c r="L26" s="481"/>
      <c r="M26" s="481"/>
      <c r="N26" s="434">
        <f t="shared" si="11"/>
        <v>0</v>
      </c>
      <c r="O26" s="434">
        <f t="shared" si="11"/>
        <v>0</v>
      </c>
      <c r="P26" s="434">
        <f t="shared" si="11"/>
        <v>0</v>
      </c>
      <c r="Q26" s="434">
        <f t="shared" si="11"/>
        <v>0</v>
      </c>
      <c r="T26" s="1625"/>
      <c r="V26" s="461" t="s">
        <v>537</v>
      </c>
      <c r="W26" s="481"/>
      <c r="X26" s="481"/>
      <c r="Y26" s="481"/>
      <c r="Z26" s="434"/>
      <c r="AA26" s="434"/>
      <c r="AB26" s="434"/>
      <c r="AC26" s="434"/>
      <c r="AD26" s="1625"/>
    </row>
    <row r="27" spans="1:30">
      <c r="A27" s="463" t="s">
        <v>518</v>
      </c>
      <c r="B27" s="443">
        <f t="shared" si="5"/>
        <v>117457.92431402962</v>
      </c>
      <c r="C27" s="443">
        <f>G27*C$5</f>
        <v>70461.681211161151</v>
      </c>
      <c r="D27" s="443">
        <f>H27*C$5</f>
        <v>62652.740130971855</v>
      </c>
      <c r="F27" s="489">
        <f t="shared" si="10"/>
        <v>0.14757450511202957</v>
      </c>
      <c r="G27" s="489">
        <f t="shared" si="10"/>
        <v>8.8528277634961433E-2</v>
      </c>
      <c r="H27" s="487">
        <f>(O27+P27+Q27+S27)/(O$31+P$31+Q$31+S$31)</f>
        <v>7.8717099529370754E-2</v>
      </c>
      <c r="J27" s="463" t="s">
        <v>518</v>
      </c>
      <c r="K27" s="482">
        <v>1696</v>
      </c>
      <c r="L27" s="482">
        <v>1825</v>
      </c>
      <c r="M27" s="482">
        <v>1954</v>
      </c>
      <c r="N27" s="435">
        <f t="shared" si="11"/>
        <v>677</v>
      </c>
      <c r="O27" s="435">
        <f t="shared" si="11"/>
        <v>761</v>
      </c>
      <c r="P27" s="435">
        <f t="shared" si="11"/>
        <v>766</v>
      </c>
      <c r="Q27" s="1636">
        <f t="shared" si="11"/>
        <v>731</v>
      </c>
      <c r="R27" s="484"/>
      <c r="S27" s="484">
        <f>3*'What If Data'!T40</f>
        <v>0</v>
      </c>
      <c r="T27" s="1625"/>
      <c r="V27" s="463" t="s">
        <v>518</v>
      </c>
      <c r="W27" s="482">
        <v>1696</v>
      </c>
      <c r="X27" s="482">
        <v>1825</v>
      </c>
      <c r="Y27" s="482">
        <v>1954</v>
      </c>
      <c r="Z27" s="435">
        <v>1744</v>
      </c>
      <c r="AA27" s="435">
        <v>2079</v>
      </c>
      <c r="AB27" s="435">
        <v>2277</v>
      </c>
      <c r="AC27" s="1636">
        <f>AB27</f>
        <v>2277</v>
      </c>
      <c r="AD27" s="1625"/>
    </row>
    <row r="28" spans="1:30">
      <c r="A28" s="461" t="s">
        <v>536</v>
      </c>
      <c r="B28" s="435">
        <f t="shared" si="5"/>
        <v>8726.2373016319179</v>
      </c>
      <c r="C28" s="435">
        <f>G28*C$5</f>
        <v>9015.514565130421</v>
      </c>
      <c r="D28" s="435">
        <f>H28*C$5</f>
        <v>7880.1497773232968</v>
      </c>
      <c r="F28" s="487">
        <f t="shared" si="10"/>
        <v>1.0963671959973897E-2</v>
      </c>
      <c r="G28" s="487">
        <f t="shared" si="10"/>
        <v>1.1327120822622107E-2</v>
      </c>
      <c r="H28" s="487">
        <f>(O28+P28+Q28+S28)/(O$31+P$31+Q$31+S$31)</f>
        <v>9.9006449363778972E-3</v>
      </c>
      <c r="J28" s="461" t="s">
        <v>536</v>
      </c>
      <c r="K28" s="481">
        <v>0</v>
      </c>
      <c r="L28" s="481">
        <v>46</v>
      </c>
      <c r="M28" s="481">
        <v>70</v>
      </c>
      <c r="N28" s="434">
        <f t="shared" si="11"/>
        <v>94</v>
      </c>
      <c r="O28" s="434">
        <f t="shared" si="11"/>
        <v>88</v>
      </c>
      <c r="P28" s="435">
        <f t="shared" si="11"/>
        <v>100</v>
      </c>
      <c r="Q28" s="1636">
        <f t="shared" si="11"/>
        <v>96</v>
      </c>
      <c r="R28" s="484"/>
      <c r="S28" s="484"/>
      <c r="T28" s="1625"/>
      <c r="V28" s="461" t="s">
        <v>536</v>
      </c>
      <c r="W28" s="481">
        <v>0</v>
      </c>
      <c r="X28" s="481">
        <v>46</v>
      </c>
      <c r="Y28" s="481">
        <v>70</v>
      </c>
      <c r="Z28" s="434">
        <v>80</v>
      </c>
      <c r="AA28" s="434">
        <v>70</v>
      </c>
      <c r="AB28" s="435">
        <v>80</v>
      </c>
      <c r="AC28" s="1636">
        <f>AB28</f>
        <v>80</v>
      </c>
      <c r="AD28" s="1625"/>
    </row>
    <row r="29" spans="1:30" ht="16.5" thickBot="1">
      <c r="A29" s="467" t="s">
        <v>520</v>
      </c>
      <c r="B29" s="435">
        <f t="shared" si="5"/>
        <v>0</v>
      </c>
      <c r="C29" s="435">
        <f>G29*C$5</f>
        <v>0</v>
      </c>
      <c r="D29" s="435">
        <f>H29*C$5</f>
        <v>0</v>
      </c>
      <c r="F29" s="487">
        <f t="shared" si="10"/>
        <v>0</v>
      </c>
      <c r="G29" s="487">
        <f t="shared" si="10"/>
        <v>0</v>
      </c>
      <c r="H29" s="487">
        <f>(O29+P29+Q29+S29)/(O$31+P$31+Q$31+S$31)</f>
        <v>0</v>
      </c>
      <c r="J29" s="485" t="s">
        <v>520</v>
      </c>
      <c r="K29" s="486"/>
      <c r="L29" s="486"/>
      <c r="M29" s="486"/>
      <c r="N29" s="486"/>
      <c r="O29" s="486"/>
      <c r="P29" s="1203"/>
      <c r="Q29" s="1203"/>
      <c r="R29" s="354"/>
      <c r="S29" s="354"/>
      <c r="V29" s="485" t="s">
        <v>520</v>
      </c>
      <c r="W29" s="486"/>
      <c r="X29" s="486"/>
      <c r="Y29" s="486"/>
      <c r="Z29" s="486"/>
      <c r="AA29" s="486"/>
      <c r="AB29" s="1203"/>
      <c r="AC29" s="1203"/>
    </row>
    <row r="30" spans="1:30" ht="16.5" thickTop="1">
      <c r="A30" s="468"/>
      <c r="B30" s="447">
        <f>SUM(B12:B29)</f>
        <v>795922.87451591133</v>
      </c>
      <c r="C30" s="447">
        <f>SUM(C12:C29)</f>
        <v>795922.87451591121</v>
      </c>
      <c r="D30" s="447">
        <f>SUM(D12:D29)</f>
        <v>795922.87451591133</v>
      </c>
      <c r="F30" s="488">
        <f>SUM(F12:F29)</f>
        <v>1</v>
      </c>
      <c r="G30" s="488">
        <f>SUM(G12:G29)</f>
        <v>1</v>
      </c>
      <c r="H30" s="488">
        <f>SUM(H12:H29)</f>
        <v>1.0000000000000002</v>
      </c>
      <c r="J30" s="483"/>
      <c r="K30" s="481"/>
      <c r="L30" s="481"/>
      <c r="M30" s="481"/>
      <c r="N30" s="481"/>
      <c r="O30" s="481"/>
      <c r="P30" s="1188"/>
      <c r="Q30" s="1188"/>
      <c r="V30" s="483"/>
      <c r="W30" s="481"/>
      <c r="X30" s="481"/>
      <c r="Y30" s="481"/>
      <c r="Z30" s="481"/>
      <c r="AA30" s="481"/>
      <c r="AB30" s="1188"/>
      <c r="AC30" s="1188"/>
    </row>
    <row r="31" spans="1:30">
      <c r="J31" s="483" t="s">
        <v>180</v>
      </c>
      <c r="K31" s="482">
        <f t="shared" ref="K31:Q31" si="12">SUM(K12:K28)</f>
        <v>6343</v>
      </c>
      <c r="L31" s="482">
        <f t="shared" si="12"/>
        <v>7070</v>
      </c>
      <c r="M31" s="482">
        <f t="shared" si="12"/>
        <v>7469</v>
      </c>
      <c r="N31" s="482">
        <f t="shared" si="12"/>
        <v>7188</v>
      </c>
      <c r="O31" s="482">
        <f t="shared" si="12"/>
        <v>8328</v>
      </c>
      <c r="P31" s="482">
        <f t="shared" si="12"/>
        <v>9380</v>
      </c>
      <c r="Q31" s="1186">
        <f t="shared" si="12"/>
        <v>10977</v>
      </c>
      <c r="S31" s="482">
        <f>SUM(S12:S28)</f>
        <v>0</v>
      </c>
      <c r="V31" s="483" t="s">
        <v>180</v>
      </c>
      <c r="W31" s="482">
        <f t="shared" ref="W31:AC31" si="13">SUM(W12:W28)</f>
        <v>6343</v>
      </c>
      <c r="X31" s="482">
        <f t="shared" si="13"/>
        <v>7070</v>
      </c>
      <c r="Y31" s="482">
        <f t="shared" si="13"/>
        <v>7469</v>
      </c>
      <c r="Z31" s="482">
        <f t="shared" si="13"/>
        <v>7185</v>
      </c>
      <c r="AA31" s="482">
        <f t="shared" si="13"/>
        <v>8323</v>
      </c>
      <c r="AB31" s="482">
        <f t="shared" si="13"/>
        <v>9402</v>
      </c>
      <c r="AC31" s="1186">
        <f t="shared" si="13"/>
        <v>9402</v>
      </c>
    </row>
    <row r="32" spans="1:30">
      <c r="J32" s="483" t="s">
        <v>525</v>
      </c>
      <c r="K32" s="482">
        <v>6339</v>
      </c>
      <c r="L32" s="482">
        <v>7060</v>
      </c>
      <c r="M32" s="482">
        <v>7459</v>
      </c>
      <c r="N32" s="482"/>
      <c r="O32" s="482"/>
      <c r="P32" s="482"/>
      <c r="Q32" s="482"/>
      <c r="R32" s="482"/>
      <c r="S32" s="482"/>
    </row>
    <row r="37" spans="10:14">
      <c r="J37" s="439" t="s">
        <v>521</v>
      </c>
      <c r="K37" s="1680"/>
      <c r="L37" s="1680"/>
      <c r="M37" s="1680"/>
      <c r="N37" s="1680"/>
    </row>
    <row r="38" spans="10:14">
      <c r="J38" s="441" t="s">
        <v>513</v>
      </c>
      <c r="K38" s="1681">
        <v>76</v>
      </c>
      <c r="L38" s="1681">
        <v>56</v>
      </c>
      <c r="M38" s="1681">
        <v>76</v>
      </c>
      <c r="N38" s="1681">
        <v>76</v>
      </c>
    </row>
    <row r="39" spans="10:14">
      <c r="J39" s="441" t="s">
        <v>6</v>
      </c>
      <c r="K39" s="1681">
        <v>40</v>
      </c>
      <c r="L39" s="1681">
        <v>195</v>
      </c>
      <c r="M39" s="1681">
        <v>1060</v>
      </c>
      <c r="N39" s="1681">
        <v>1425</v>
      </c>
    </row>
    <row r="40" spans="10:14">
      <c r="J40" s="441" t="s">
        <v>8</v>
      </c>
      <c r="K40" s="1681">
        <v>0</v>
      </c>
      <c r="L40" s="1681">
        <v>0</v>
      </c>
      <c r="M40" s="1681">
        <v>0</v>
      </c>
      <c r="N40" s="1681">
        <v>57</v>
      </c>
    </row>
    <row r="41" spans="10:14">
      <c r="J41" s="442" t="s">
        <v>2</v>
      </c>
      <c r="K41" s="1682">
        <v>0</v>
      </c>
      <c r="L41" s="1682">
        <v>0</v>
      </c>
      <c r="M41" s="1682">
        <v>0</v>
      </c>
      <c r="N41" s="1682">
        <v>0</v>
      </c>
    </row>
    <row r="42" spans="10:14">
      <c r="J42" s="441" t="s">
        <v>10</v>
      </c>
      <c r="K42" s="1681">
        <v>0</v>
      </c>
      <c r="L42" s="1681">
        <v>0</v>
      </c>
      <c r="M42" s="1681">
        <v>0</v>
      </c>
      <c r="N42" s="1681">
        <v>0</v>
      </c>
    </row>
    <row r="43" spans="10:14">
      <c r="J43" s="441" t="s">
        <v>4</v>
      </c>
      <c r="K43" s="1681">
        <v>2150</v>
      </c>
      <c r="L43" s="1681">
        <v>2338</v>
      </c>
      <c r="M43" s="1681">
        <v>2365</v>
      </c>
      <c r="N43" s="1681">
        <v>2999</v>
      </c>
    </row>
    <row r="44" spans="10:14">
      <c r="J44" s="441" t="s">
        <v>14</v>
      </c>
      <c r="K44" s="1681">
        <v>0</v>
      </c>
      <c r="L44" s="1681">
        <v>0</v>
      </c>
      <c r="M44" s="1681">
        <v>0</v>
      </c>
      <c r="N44" s="1681">
        <v>0</v>
      </c>
    </row>
    <row r="45" spans="10:14">
      <c r="J45" s="442" t="s">
        <v>17</v>
      </c>
      <c r="K45" s="1682">
        <v>581</v>
      </c>
      <c r="L45" s="1682">
        <v>711</v>
      </c>
      <c r="M45" s="1682">
        <v>852</v>
      </c>
      <c r="N45" s="1682">
        <v>741</v>
      </c>
    </row>
    <row r="46" spans="10:14">
      <c r="J46" s="441" t="s">
        <v>316</v>
      </c>
      <c r="K46" s="1681">
        <v>0</v>
      </c>
      <c r="L46" s="1681">
        <v>0</v>
      </c>
      <c r="M46" s="1681">
        <v>0</v>
      </c>
      <c r="N46" s="1681">
        <v>0</v>
      </c>
    </row>
    <row r="47" spans="10:14">
      <c r="J47" s="441" t="s">
        <v>7</v>
      </c>
      <c r="K47" s="1681">
        <v>526</v>
      </c>
      <c r="L47" s="1681">
        <v>738</v>
      </c>
      <c r="M47" s="1681">
        <v>630</v>
      </c>
      <c r="N47" s="1681">
        <v>690</v>
      </c>
    </row>
    <row r="48" spans="10:14">
      <c r="J48" s="441" t="s">
        <v>514</v>
      </c>
      <c r="K48" s="1681">
        <v>40</v>
      </c>
      <c r="L48" s="1681">
        <v>72</v>
      </c>
      <c r="M48" s="1681">
        <v>90</v>
      </c>
      <c r="N48" s="1681">
        <v>78</v>
      </c>
    </row>
    <row r="49" spans="10:14">
      <c r="J49" s="442" t="s">
        <v>515</v>
      </c>
      <c r="K49" s="1682">
        <v>0</v>
      </c>
      <c r="L49" s="1682">
        <v>0</v>
      </c>
      <c r="M49" s="1682">
        <v>0</v>
      </c>
      <c r="N49" s="1682">
        <v>0</v>
      </c>
    </row>
    <row r="50" spans="10:14">
      <c r="J50" s="441"/>
      <c r="K50" s="1681"/>
      <c r="L50" s="1681"/>
      <c r="M50" s="1681"/>
      <c r="N50" s="1681"/>
    </row>
    <row r="51" spans="10:14">
      <c r="J51" s="441" t="s">
        <v>516</v>
      </c>
      <c r="K51" s="1681"/>
      <c r="L51" s="1681"/>
      <c r="M51" s="1681"/>
      <c r="N51" s="1681"/>
    </row>
    <row r="52" spans="10:14">
      <c r="J52" s="441" t="s">
        <v>517</v>
      </c>
      <c r="K52" s="1681"/>
      <c r="L52" s="1681"/>
      <c r="M52" s="1681"/>
      <c r="N52" s="1681"/>
    </row>
    <row r="53" spans="10:14">
      <c r="J53" s="442" t="s">
        <v>518</v>
      </c>
      <c r="K53" s="1682"/>
      <c r="L53" s="1682"/>
      <c r="M53" s="1682"/>
      <c r="N53" s="1682"/>
    </row>
    <row r="54" spans="10:14">
      <c r="J54" s="441" t="s">
        <v>519</v>
      </c>
      <c r="K54" s="1681">
        <v>80</v>
      </c>
      <c r="L54" s="1681">
        <v>70</v>
      </c>
      <c r="M54" s="1681">
        <v>80</v>
      </c>
      <c r="N54" s="1681">
        <v>64</v>
      </c>
    </row>
    <row r="55" spans="10:14">
      <c r="J55" s="445" t="s">
        <v>520</v>
      </c>
      <c r="K55" s="1681"/>
      <c r="L55" s="1681"/>
      <c r="M55" s="1681"/>
      <c r="N55" s="1681"/>
    </row>
    <row r="56" spans="10:14">
      <c r="J56" s="1699" t="s">
        <v>180</v>
      </c>
      <c r="K56" s="1701">
        <v>3493</v>
      </c>
      <c r="L56" s="1701">
        <v>4180</v>
      </c>
      <c r="M56" s="1701">
        <v>5153</v>
      </c>
      <c r="N56" s="1701">
        <v>6130</v>
      </c>
    </row>
    <row r="57" spans="10:14">
      <c r="J57" s="1685"/>
      <c r="K57" s="1685"/>
      <c r="L57" s="1685"/>
      <c r="M57" s="1685"/>
      <c r="N57" s="1685"/>
    </row>
    <row r="58" spans="10:14">
      <c r="J58" s="1702"/>
      <c r="K58" s="1702"/>
      <c r="L58" s="1702"/>
      <c r="M58" s="1702"/>
      <c r="N58" s="1702"/>
    </row>
    <row r="59" spans="10:14">
      <c r="J59" s="445"/>
      <c r="K59" s="445"/>
      <c r="L59" s="445"/>
      <c r="M59" s="445"/>
      <c r="N59" s="445"/>
    </row>
    <row r="60" spans="10:14">
      <c r="J60" s="1704"/>
      <c r="K60" s="1704"/>
      <c r="L60" s="1704"/>
      <c r="M60" s="1704"/>
      <c r="N60" s="1704"/>
    </row>
    <row r="61" spans="10:14">
      <c r="J61" s="1703" t="s">
        <v>1637</v>
      </c>
      <c r="K61" s="1703"/>
      <c r="L61" s="1703"/>
      <c r="M61" s="1703"/>
      <c r="N61" s="1703"/>
    </row>
    <row r="62" spans="10:14">
      <c r="J62" s="439" t="s">
        <v>523</v>
      </c>
      <c r="K62" s="1680"/>
      <c r="L62" s="1680"/>
      <c r="M62" s="1680"/>
      <c r="N62" s="1680"/>
    </row>
    <row r="63" spans="10:14">
      <c r="J63" s="441" t="s">
        <v>513</v>
      </c>
      <c r="K63" s="1681">
        <v>77</v>
      </c>
      <c r="L63" s="1681">
        <v>96</v>
      </c>
      <c r="M63" s="1681">
        <v>117</v>
      </c>
      <c r="N63" s="1681">
        <v>115</v>
      </c>
    </row>
    <row r="64" spans="10:14">
      <c r="J64" s="441" t="s">
        <v>6</v>
      </c>
      <c r="K64" s="1681">
        <v>147</v>
      </c>
      <c r="L64" s="1681">
        <v>318</v>
      </c>
      <c r="M64" s="1681">
        <v>364</v>
      </c>
      <c r="N64" s="1681">
        <v>689</v>
      </c>
    </row>
    <row r="65" spans="10:14">
      <c r="J65" s="441" t="s">
        <v>8</v>
      </c>
      <c r="K65" s="1681">
        <v>0</v>
      </c>
      <c r="L65" s="1681">
        <v>0</v>
      </c>
      <c r="M65" s="1681">
        <v>0</v>
      </c>
      <c r="N65" s="1681">
        <v>10</v>
      </c>
    </row>
    <row r="66" spans="10:14">
      <c r="J66" s="442" t="s">
        <v>2</v>
      </c>
      <c r="K66" s="1682">
        <v>31</v>
      </c>
      <c r="L66" s="1682">
        <v>18</v>
      </c>
      <c r="M66" s="1682">
        <v>31</v>
      </c>
      <c r="N66" s="1682">
        <v>26</v>
      </c>
    </row>
    <row r="67" spans="10:14">
      <c r="J67" s="441" t="s">
        <v>10</v>
      </c>
      <c r="K67" s="1681">
        <v>0</v>
      </c>
      <c r="L67" s="1681">
        <v>0</v>
      </c>
      <c r="M67" s="1681">
        <v>0</v>
      </c>
      <c r="N67" s="1681">
        <v>0</v>
      </c>
    </row>
    <row r="68" spans="10:14">
      <c r="J68" s="441" t="s">
        <v>4</v>
      </c>
      <c r="K68" s="1681">
        <v>854</v>
      </c>
      <c r="L68" s="1681">
        <v>930</v>
      </c>
      <c r="M68" s="1681">
        <v>961</v>
      </c>
      <c r="N68" s="1681">
        <v>1086</v>
      </c>
    </row>
    <row r="69" spans="10:14">
      <c r="J69" s="441" t="s">
        <v>14</v>
      </c>
      <c r="K69" s="1681">
        <v>0</v>
      </c>
      <c r="L69" s="1681">
        <v>0</v>
      </c>
      <c r="M69" s="1681">
        <v>0</v>
      </c>
      <c r="N69" s="1681">
        <v>0</v>
      </c>
    </row>
    <row r="70" spans="10:14">
      <c r="J70" s="442" t="s">
        <v>17</v>
      </c>
      <c r="K70" s="1682">
        <v>728</v>
      </c>
      <c r="L70" s="1682">
        <v>812</v>
      </c>
      <c r="M70" s="1682">
        <v>654</v>
      </c>
      <c r="N70" s="1682">
        <v>846</v>
      </c>
    </row>
    <row r="71" spans="10:14">
      <c r="J71" s="441" t="s">
        <v>316</v>
      </c>
      <c r="K71" s="1681">
        <v>0</v>
      </c>
      <c r="L71" s="1681">
        <v>0</v>
      </c>
      <c r="M71" s="1681">
        <v>0</v>
      </c>
      <c r="N71" s="1681">
        <v>0</v>
      </c>
    </row>
    <row r="72" spans="10:14">
      <c r="J72" s="441" t="s">
        <v>7</v>
      </c>
      <c r="K72" s="1681">
        <v>929</v>
      </c>
      <c r="L72" s="1681">
        <v>1037</v>
      </c>
      <c r="M72" s="1681">
        <v>1063</v>
      </c>
      <c r="N72" s="1681">
        <v>1070</v>
      </c>
    </row>
    <row r="73" spans="10:14">
      <c r="J73" s="441" t="s">
        <v>514</v>
      </c>
      <c r="K73" s="1681">
        <v>156</v>
      </c>
      <c r="L73" s="1681">
        <v>75</v>
      </c>
      <c r="M73" s="1681">
        <v>87</v>
      </c>
      <c r="N73" s="1681">
        <v>135</v>
      </c>
    </row>
    <row r="74" spans="10:14">
      <c r="J74" s="442" t="s">
        <v>515</v>
      </c>
      <c r="K74" s="1682">
        <v>82</v>
      </c>
      <c r="L74" s="1682">
        <v>83</v>
      </c>
      <c r="M74" s="1682">
        <v>164</v>
      </c>
      <c r="N74" s="1682">
        <v>107</v>
      </c>
    </row>
    <row r="75" spans="10:14">
      <c r="J75" s="441"/>
      <c r="K75" s="1681">
        <v>0</v>
      </c>
      <c r="L75" s="1681">
        <v>0</v>
      </c>
      <c r="M75" s="1681">
        <v>0</v>
      </c>
      <c r="N75" s="1681">
        <v>0</v>
      </c>
    </row>
    <row r="76" spans="10:14">
      <c r="J76" s="441" t="s">
        <v>516</v>
      </c>
      <c r="K76" s="1681">
        <v>0</v>
      </c>
      <c r="L76" s="1681">
        <v>0</v>
      </c>
      <c r="M76" s="1681">
        <v>0</v>
      </c>
      <c r="N76" s="1681">
        <v>0</v>
      </c>
    </row>
    <row r="77" spans="10:14">
      <c r="J77" s="441" t="s">
        <v>517</v>
      </c>
      <c r="K77" s="1681">
        <v>0</v>
      </c>
      <c r="L77" s="1681">
        <v>0</v>
      </c>
      <c r="M77" s="1681">
        <v>0</v>
      </c>
      <c r="N77" s="1681">
        <v>0</v>
      </c>
    </row>
    <row r="78" spans="10:14">
      <c r="J78" s="442" t="s">
        <v>518</v>
      </c>
      <c r="K78" s="1682">
        <v>677</v>
      </c>
      <c r="L78" s="1682">
        <v>761</v>
      </c>
      <c r="M78" s="1682">
        <v>766</v>
      </c>
      <c r="N78" s="1682">
        <v>731</v>
      </c>
    </row>
    <row r="79" spans="10:14">
      <c r="J79" s="441" t="s">
        <v>519</v>
      </c>
      <c r="K79" s="1681">
        <v>14</v>
      </c>
      <c r="L79" s="1681">
        <v>18</v>
      </c>
      <c r="M79" s="1681">
        <v>20</v>
      </c>
      <c r="N79" s="1681">
        <v>32</v>
      </c>
    </row>
    <row r="80" spans="10:14">
      <c r="J80" s="445" t="s">
        <v>520</v>
      </c>
      <c r="K80" s="1681">
        <v>0</v>
      </c>
      <c r="L80" s="1681">
        <v>0</v>
      </c>
      <c r="M80" s="1681">
        <v>0</v>
      </c>
      <c r="N80" s="1681">
        <v>0</v>
      </c>
    </row>
    <row r="81" spans="10:14">
      <c r="J81" s="1699" t="s">
        <v>180</v>
      </c>
      <c r="K81" s="1701">
        <v>3695</v>
      </c>
      <c r="L81" s="1701">
        <v>4148</v>
      </c>
      <c r="M81" s="1701">
        <v>4227</v>
      </c>
      <c r="N81" s="1701">
        <v>4847</v>
      </c>
    </row>
    <row r="82" spans="10:14">
      <c r="J82" s="1685"/>
      <c r="K82" s="1685"/>
      <c r="L82" s="1685"/>
      <c r="M82" s="1685"/>
      <c r="N82" s="1685"/>
    </row>
  </sheetData>
  <pageMargins left="0.75" right="0.75" top="1" bottom="1" header="0.5" footer="0.5"/>
  <pageSetup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124"/>
  <sheetViews>
    <sheetView workbookViewId="0">
      <selection activeCell="D49" sqref="D49"/>
    </sheetView>
  </sheetViews>
  <sheetFormatPr defaultColWidth="11" defaultRowHeight="15.75"/>
  <cols>
    <col min="1" max="1" width="18.5" customWidth="1"/>
    <col min="2" max="5" width="11.625" customWidth="1"/>
    <col min="6" max="6" width="10.125" style="42" customWidth="1"/>
    <col min="7" max="7" width="13.5" customWidth="1"/>
    <col min="8" max="8" width="12.625" customWidth="1"/>
    <col min="9" max="9" width="12.125" customWidth="1"/>
    <col min="10" max="10" width="12.625" customWidth="1"/>
    <col min="12" max="12" width="11.875" customWidth="1"/>
    <col min="13" max="13" width="12" style="42" customWidth="1"/>
    <col min="14" max="14" width="3.625" style="42" customWidth="1"/>
    <col min="15" max="15" width="11.5" customWidth="1"/>
    <col min="16" max="16" width="10.5" style="42" customWidth="1"/>
    <col min="17" max="17" width="22.625" style="42" customWidth="1"/>
    <col min="18" max="18" width="11" customWidth="1"/>
    <col min="28" max="28" width="12.5" customWidth="1"/>
    <col min="29" max="29" width="10.875" customWidth="1"/>
    <col min="30" max="30" width="10" customWidth="1"/>
    <col min="31" max="31" width="9.375" customWidth="1"/>
    <col min="34" max="35" width="13.125" customWidth="1"/>
    <col min="39" max="39" width="11.875" bestFit="1" customWidth="1"/>
  </cols>
  <sheetData>
    <row r="1" spans="1:30">
      <c r="A1" s="10" t="s">
        <v>558</v>
      </c>
      <c r="H1" s="1" t="s">
        <v>797</v>
      </c>
    </row>
    <row r="2" spans="1:30" ht="16.5" thickBot="1">
      <c r="A2" s="10"/>
      <c r="H2" s="1" t="s">
        <v>798</v>
      </c>
      <c r="M2"/>
      <c r="N2"/>
      <c r="P2"/>
      <c r="AD2" s="42"/>
    </row>
    <row r="3" spans="1:30" ht="16.5" thickBot="1">
      <c r="A3" s="418" t="s">
        <v>290</v>
      </c>
      <c r="B3" s="419" t="s">
        <v>249</v>
      </c>
      <c r="C3" s="419"/>
      <c r="D3" s="419"/>
      <c r="E3" s="420" t="s">
        <v>291</v>
      </c>
      <c r="F3" s="490"/>
      <c r="G3" s="148"/>
      <c r="H3" s="148"/>
      <c r="M3"/>
      <c r="N3"/>
      <c r="P3"/>
      <c r="Q3" s="421"/>
      <c r="AD3" s="42"/>
    </row>
    <row r="4" spans="1:30">
      <c r="A4" s="422" t="s">
        <v>251</v>
      </c>
      <c r="B4" s="423" t="s">
        <v>542</v>
      </c>
      <c r="C4" s="423"/>
      <c r="D4" s="423"/>
      <c r="E4" s="930">
        <f>'Dashboard-Academic Allocation'!C24</f>
        <v>0.15</v>
      </c>
      <c r="F4" s="916">
        <f>E4/(E4+E5)</f>
        <v>0.57692307692307687</v>
      </c>
      <c r="G4" s="148"/>
      <c r="H4" s="148"/>
      <c r="M4"/>
      <c r="N4"/>
      <c r="P4"/>
      <c r="Q4" s="149"/>
      <c r="AD4" s="42"/>
    </row>
    <row r="5" spans="1:30" ht="16.5" thickBot="1">
      <c r="A5" s="491"/>
      <c r="B5" s="492" t="s">
        <v>543</v>
      </c>
      <c r="C5" s="492"/>
      <c r="D5" s="492"/>
      <c r="E5" s="931">
        <f>'Dashboard-Academic Allocation'!C25</f>
        <v>0.11</v>
      </c>
      <c r="F5" s="918">
        <f>1-F4</f>
        <v>0.42307692307692313</v>
      </c>
      <c r="G5" s="148"/>
      <c r="H5" s="148"/>
      <c r="M5"/>
      <c r="N5"/>
      <c r="P5"/>
      <c r="Q5" s="148"/>
    </row>
    <row r="6" spans="1:30">
      <c r="M6"/>
      <c r="N6"/>
      <c r="P6"/>
      <c r="Q6"/>
    </row>
    <row r="7" spans="1:30">
      <c r="G7" s="10"/>
      <c r="M7"/>
      <c r="N7"/>
      <c r="P7"/>
      <c r="Q7"/>
      <c r="R7" s="10"/>
    </row>
    <row r="8" spans="1:30" ht="16.5" thickBot="1">
      <c r="M8"/>
      <c r="N8"/>
      <c r="P8"/>
      <c r="Q8"/>
      <c r="U8" s="454"/>
      <c r="V8" s="454"/>
      <c r="W8" s="454"/>
      <c r="X8" s="454"/>
      <c r="Y8" s="454"/>
      <c r="Z8" s="454"/>
    </row>
    <row r="9" spans="1:30" ht="16.5" thickBot="1">
      <c r="A9" s="477" t="s">
        <v>541</v>
      </c>
      <c r="B9" s="478"/>
      <c r="C9" s="478"/>
      <c r="D9" s="478"/>
      <c r="E9" s="909">
        <f>'Dashboard-Academic Allocation'!D24+'Dashboard-Academic Allocation'!D25</f>
        <v>41387989.474827379</v>
      </c>
      <c r="P9"/>
      <c r="Q9"/>
      <c r="R9" s="432"/>
    </row>
    <row r="10" spans="1:30" ht="16.5" thickBot="1">
      <c r="P10"/>
      <c r="Q10"/>
      <c r="R10" s="434"/>
      <c r="S10" s="148"/>
      <c r="T10" s="148"/>
      <c r="U10" s="148"/>
      <c r="V10" s="148"/>
      <c r="W10" s="148"/>
      <c r="X10" s="148"/>
      <c r="Y10" s="148"/>
      <c r="Z10" s="148"/>
    </row>
    <row r="11" spans="1:30" ht="16.5" thickBot="1">
      <c r="P11"/>
      <c r="Q11"/>
      <c r="R11" s="434"/>
      <c r="S11" s="435"/>
      <c r="T11" s="435"/>
      <c r="U11" s="436"/>
      <c r="V11" s="436"/>
      <c r="W11" s="436"/>
      <c r="X11" s="436"/>
      <c r="Y11" s="436"/>
      <c r="Z11" s="436"/>
      <c r="AB11" s="919" t="s">
        <v>767</v>
      </c>
      <c r="AC11" s="789" t="s">
        <v>502</v>
      </c>
    </row>
    <row r="12" spans="1:30">
      <c r="P12"/>
      <c r="Q12"/>
      <c r="R12" s="434"/>
      <c r="S12" s="434"/>
      <c r="T12" s="434"/>
      <c r="U12" s="434"/>
      <c r="V12" s="434"/>
      <c r="W12" s="434"/>
      <c r="X12" s="434"/>
      <c r="Y12" s="434"/>
      <c r="Z12" s="434"/>
    </row>
    <row r="13" spans="1:30">
      <c r="P13"/>
      <c r="Q13"/>
      <c r="R13" s="437"/>
      <c r="S13" s="435"/>
      <c r="T13" s="435"/>
      <c r="U13" s="438"/>
      <c r="V13" s="438"/>
      <c r="W13" s="438"/>
      <c r="X13" s="438"/>
      <c r="Y13" s="438"/>
      <c r="Z13" s="438"/>
    </row>
    <row r="14" spans="1:30" ht="51.75">
      <c r="E14" s="42"/>
      <c r="F14"/>
      <c r="L14" s="42"/>
      <c r="N14"/>
      <c r="O14" s="386" t="s">
        <v>549</v>
      </c>
      <c r="P14"/>
      <c r="Q14"/>
      <c r="AA14" s="506" t="s">
        <v>550</v>
      </c>
      <c r="AB14" s="507" t="s">
        <v>551</v>
      </c>
      <c r="AC14" s="507" t="s">
        <v>765</v>
      </c>
      <c r="AD14" s="507" t="s">
        <v>766</v>
      </c>
    </row>
    <row r="15" spans="1:30">
      <c r="A15" s="458" t="s">
        <v>556</v>
      </c>
      <c r="B15" s="211"/>
      <c r="C15" s="211"/>
      <c r="D15" s="211"/>
      <c r="E15" s="42"/>
      <c r="F15" s="458" t="s">
        <v>553</v>
      </c>
      <c r="G15" s="458"/>
      <c r="H15" s="458"/>
      <c r="I15" s="458"/>
      <c r="J15" s="458"/>
      <c r="K15" s="458"/>
      <c r="L15" s="458"/>
      <c r="M15" s="458"/>
      <c r="N15"/>
      <c r="P15"/>
      <c r="Q15" s="549" t="s">
        <v>522</v>
      </c>
      <c r="R15" s="440"/>
      <c r="S15" s="440"/>
      <c r="T15" s="440"/>
      <c r="U15" s="440"/>
      <c r="V15" s="440"/>
      <c r="W15" s="440"/>
      <c r="X15" s="440"/>
      <c r="Y15" s="440"/>
      <c r="AA15" s="148"/>
      <c r="AB15" s="148"/>
      <c r="AC15" s="148"/>
      <c r="AD15" s="148"/>
    </row>
    <row r="16" spans="1:30" ht="38.25">
      <c r="A16" s="459"/>
      <c r="B16" s="460" t="s">
        <v>878</v>
      </c>
      <c r="C16" s="460" t="s">
        <v>1251</v>
      </c>
      <c r="D16" s="460" t="s">
        <v>1583</v>
      </c>
      <c r="E16" s="476"/>
      <c r="F16" s="459"/>
      <c r="G16" s="460" t="s">
        <v>1249</v>
      </c>
      <c r="H16" s="460" t="s">
        <v>1664</v>
      </c>
      <c r="I16" s="460" t="s">
        <v>1584</v>
      </c>
      <c r="J16" s="459"/>
      <c r="K16" s="460" t="s">
        <v>1250</v>
      </c>
      <c r="L16" s="460" t="s">
        <v>1663</v>
      </c>
      <c r="M16" s="460" t="s">
        <v>1585</v>
      </c>
      <c r="N16"/>
      <c r="O16" s="42"/>
      <c r="P16"/>
      <c r="Q16" s="944"/>
      <c r="R16" s="457" t="s">
        <v>507</v>
      </c>
      <c r="S16" s="457" t="s">
        <v>508</v>
      </c>
      <c r="T16" s="457" t="s">
        <v>509</v>
      </c>
      <c r="U16" s="457" t="s">
        <v>825</v>
      </c>
      <c r="V16" s="457" t="s">
        <v>962</v>
      </c>
      <c r="W16" s="457" t="s">
        <v>1475</v>
      </c>
      <c r="X16" s="457" t="s">
        <v>1571</v>
      </c>
      <c r="Y16" s="457" t="s">
        <v>1165</v>
      </c>
    </row>
    <row r="17" spans="1:45">
      <c r="A17" s="461" t="s">
        <v>513</v>
      </c>
      <c r="B17" s="435">
        <f>B42*E$9</f>
        <v>4493627.0290536331</v>
      </c>
      <c r="C17" s="435">
        <f>C42*E$9</f>
        <v>4107895.7028142554</v>
      </c>
      <c r="D17" s="435">
        <f t="shared" ref="D17:D28" si="0">D42*E$9</f>
        <v>3773161.1603870192</v>
      </c>
      <c r="E17" s="435"/>
      <c r="F17" s="461" t="s">
        <v>513</v>
      </c>
      <c r="G17" s="523">
        <f>K17/K$35</f>
        <v>9.0185635471196984E-2</v>
      </c>
      <c r="H17" s="523">
        <f>L17/L$35</f>
        <v>8.1428519016257181E-2</v>
      </c>
      <c r="I17" s="523">
        <f>M17/M$35</f>
        <v>7.3300371285124913E-2</v>
      </c>
      <c r="J17" s="186"/>
      <c r="K17" s="435">
        <f>O17*(V17+T17+U17)</f>
        <v>76646.088325390447</v>
      </c>
      <c r="L17" s="435">
        <f>O17*(W17+U17+V17)</f>
        <v>71273.605505355532</v>
      </c>
      <c r="M17" s="435">
        <f>O17*(V17+W17+X17+Y17)</f>
        <v>65098.32147690274</v>
      </c>
      <c r="N17"/>
      <c r="O17" s="920">
        <f>AD17</f>
        <v>1.4284719010994193</v>
      </c>
      <c r="P17"/>
      <c r="Q17" s="461" t="s">
        <v>513</v>
      </c>
      <c r="R17" s="435">
        <v>17403</v>
      </c>
      <c r="S17" s="435">
        <v>19218</v>
      </c>
      <c r="T17" s="435">
        <v>18548</v>
      </c>
      <c r="U17" s="435">
        <f>'SCH data and adjusts'!B57</f>
        <v>18251</v>
      </c>
      <c r="V17" s="435">
        <f>'SCH data and adjusts'!C57</f>
        <v>16857</v>
      </c>
      <c r="W17" s="1518">
        <f>'SCH data and adjusts'!D57</f>
        <v>14787</v>
      </c>
      <c r="X17" s="985">
        <f>'SCH data and adjusts'!E57</f>
        <v>13928</v>
      </c>
      <c r="Y17" s="435">
        <f>3*'What If Data'!E25</f>
        <v>0</v>
      </c>
      <c r="AA17" s="461" t="s">
        <v>513</v>
      </c>
      <c r="AB17" s="991">
        <f>Weights!C7</f>
        <v>1.4284719010994193</v>
      </c>
      <c r="AC17" s="841">
        <v>1</v>
      </c>
      <c r="AD17" s="841">
        <f t="shared" ref="AD17:AD28" si="1">IF(AC$11="yes",AB17,AC17)</f>
        <v>1.4284719010994193</v>
      </c>
      <c r="AF17" s="958">
        <v>1.3814582627890051</v>
      </c>
    </row>
    <row r="18" spans="1:45">
      <c r="A18" s="461" t="s">
        <v>6</v>
      </c>
      <c r="B18" s="435">
        <f t="shared" ref="B18:B28" si="2">B43*E$9</f>
        <v>5646299.5508195339</v>
      </c>
      <c r="C18" s="435">
        <f t="shared" ref="C18:C34" si="3">C43*E$9</f>
        <v>5833333.7015267657</v>
      </c>
      <c r="D18" s="435">
        <f t="shared" si="0"/>
        <v>6056176.8840050651</v>
      </c>
      <c r="E18" s="435"/>
      <c r="F18" s="461" t="s">
        <v>6</v>
      </c>
      <c r="G18" s="523">
        <f t="shared" ref="G18:H28" si="4">K18/K$35</f>
        <v>0.15116660374867241</v>
      </c>
      <c r="H18" s="523">
        <f>L18/L$35</f>
        <v>0.15645019621260231</v>
      </c>
      <c r="I18" s="523">
        <f t="shared" ref="I18:I28" si="5">M18/M$35</f>
        <v>0.15881230691797776</v>
      </c>
      <c r="J18" s="186"/>
      <c r="K18" s="435">
        <f t="shared" ref="K18:K28" si="6">O18*(V18+T18+U18)</f>
        <v>128471.99891905651</v>
      </c>
      <c r="L18" s="435">
        <f t="shared" ref="L18:L28" si="7">O18*(W18+U18+V18)</f>
        <v>136939.36351545627</v>
      </c>
      <c r="M18" s="435">
        <f>O18*(V18+W18+X18+Y18)</f>
        <v>141041.77685567972</v>
      </c>
      <c r="N18"/>
      <c r="O18" s="920">
        <f t="shared" ref="O18:O34" si="8">AD18</f>
        <v>1.0336138423339543</v>
      </c>
      <c r="P18"/>
      <c r="Q18" s="461" t="s">
        <v>6</v>
      </c>
      <c r="R18" s="435">
        <v>39935</v>
      </c>
      <c r="S18" s="435">
        <v>40868</v>
      </c>
      <c r="T18" s="435">
        <v>38014</v>
      </c>
      <c r="U18" s="435">
        <f>'SCH data and adjusts'!B58</f>
        <v>41530</v>
      </c>
      <c r="V18" s="435">
        <f>'SCH data and adjusts'!C58</f>
        <v>44750</v>
      </c>
      <c r="W18" s="1518">
        <f>'SCH data and adjusts'!D58</f>
        <v>46206</v>
      </c>
      <c r="X18" s="985">
        <f>'SCH data and adjusts'!E58</f>
        <v>45499</v>
      </c>
      <c r="Y18" s="435">
        <f>3*'What If Data'!E26</f>
        <v>0</v>
      </c>
      <c r="AA18" s="461" t="s">
        <v>6</v>
      </c>
      <c r="AB18" s="991">
        <f>Weights!C8</f>
        <v>1.0336138423339543</v>
      </c>
      <c r="AC18" s="841">
        <v>1</v>
      </c>
      <c r="AD18" s="841">
        <f t="shared" si="1"/>
        <v>1.0336138423339543</v>
      </c>
      <c r="AF18" s="958">
        <v>0.92029535976171861</v>
      </c>
      <c r="AM18" s="10"/>
      <c r="AN18" s="10"/>
      <c r="AO18" s="10"/>
      <c r="AP18" s="10"/>
      <c r="AQ18" s="10"/>
      <c r="AR18" s="10"/>
      <c r="AS18" s="10"/>
    </row>
    <row r="19" spans="1:45">
      <c r="A19" s="461" t="s">
        <v>8</v>
      </c>
      <c r="B19" s="435">
        <f t="shared" si="2"/>
        <v>208889.20117721159</v>
      </c>
      <c r="C19" s="435">
        <f t="shared" si="3"/>
        <v>227583.87844163133</v>
      </c>
      <c r="D19" s="435">
        <f t="shared" si="0"/>
        <v>243016.84912779572</v>
      </c>
      <c r="E19" s="435"/>
      <c r="F19" s="461" t="s">
        <v>8</v>
      </c>
      <c r="G19" s="523">
        <f t="shared" si="4"/>
        <v>8.3062679532615834E-4</v>
      </c>
      <c r="H19" s="523">
        <f t="shared" si="4"/>
        <v>1.1526059647868311E-3</v>
      </c>
      <c r="I19" s="523">
        <f t="shared" si="5"/>
        <v>1.1033397818153011E-3</v>
      </c>
      <c r="J19" s="186"/>
      <c r="K19" s="435">
        <f t="shared" si="6"/>
        <v>705.92500000000007</v>
      </c>
      <c r="L19" s="435">
        <f t="shared" si="7"/>
        <v>1008.865</v>
      </c>
      <c r="M19" s="435">
        <f t="shared" ref="M19:M28" si="9">O19*(V19+W19+X19+Y19)</f>
        <v>979.88000000000011</v>
      </c>
      <c r="N19"/>
      <c r="O19" s="920">
        <f t="shared" si="8"/>
        <v>0.93500000000000005</v>
      </c>
      <c r="P19"/>
      <c r="Q19" s="461" t="s">
        <v>8</v>
      </c>
      <c r="R19" s="435">
        <v>227</v>
      </c>
      <c r="S19" s="435">
        <v>94</v>
      </c>
      <c r="T19" s="435">
        <v>141</v>
      </c>
      <c r="U19" s="435">
        <f>'SCH data and adjusts'!B59</f>
        <v>245</v>
      </c>
      <c r="V19" s="435">
        <f>'SCH data and adjusts'!C59</f>
        <v>369</v>
      </c>
      <c r="W19" s="1518">
        <f>'SCH data and adjusts'!D59</f>
        <v>465</v>
      </c>
      <c r="X19" s="985">
        <f>'SCH data and adjusts'!E59</f>
        <v>214</v>
      </c>
      <c r="Y19" s="435">
        <f>3*'What If Data'!E27</f>
        <v>0</v>
      </c>
      <c r="AA19" s="461" t="s">
        <v>8</v>
      </c>
      <c r="AB19" s="991">
        <f>Weights!C9</f>
        <v>0.93500000000000005</v>
      </c>
      <c r="AC19" s="841">
        <v>1</v>
      </c>
      <c r="AD19" s="841">
        <f t="shared" si="1"/>
        <v>0.93500000000000005</v>
      </c>
      <c r="AF19" s="958">
        <v>0.93742665362039157</v>
      </c>
    </row>
    <row r="20" spans="1:45">
      <c r="A20" s="463" t="s">
        <v>2</v>
      </c>
      <c r="B20" s="443">
        <f t="shared" si="2"/>
        <v>1255799.8353148194</v>
      </c>
      <c r="C20" s="443">
        <f t="shared" si="3"/>
        <v>1215771.3881041254</v>
      </c>
      <c r="D20" s="443">
        <f t="shared" si="0"/>
        <v>1236004.3237735636</v>
      </c>
      <c r="E20" s="443"/>
      <c r="F20" s="463" t="s">
        <v>2</v>
      </c>
      <c r="G20" s="524">
        <f t="shared" si="4"/>
        <v>2.6163273828343964E-2</v>
      </c>
      <c r="H20" s="524">
        <f t="shared" si="4"/>
        <v>2.6020130638138919E-2</v>
      </c>
      <c r="I20" s="524">
        <f t="shared" si="5"/>
        <v>2.6898903220662844E-2</v>
      </c>
      <c r="J20" s="186"/>
      <c r="K20" s="435">
        <f t="shared" si="6"/>
        <v>22235.387999999999</v>
      </c>
      <c r="L20" s="435">
        <f t="shared" si="7"/>
        <v>22775.171999999999</v>
      </c>
      <c r="M20" s="435">
        <f t="shared" si="9"/>
        <v>23889.011999999999</v>
      </c>
      <c r="N20"/>
      <c r="O20" s="920">
        <f t="shared" si="8"/>
        <v>1.4279999999999999</v>
      </c>
      <c r="P20"/>
      <c r="Q20" s="463" t="s">
        <v>2</v>
      </c>
      <c r="R20" s="443">
        <v>5328</v>
      </c>
      <c r="S20" s="443">
        <v>5857</v>
      </c>
      <c r="T20" s="443">
        <v>5271</v>
      </c>
      <c r="U20" s="443">
        <f>'SCH data and adjusts'!B60</f>
        <v>4808</v>
      </c>
      <c r="V20" s="443">
        <f>'SCH data and adjusts'!C60</f>
        <v>5492</v>
      </c>
      <c r="W20" s="1521">
        <f>'SCH data and adjusts'!D60</f>
        <v>5649</v>
      </c>
      <c r="X20" s="987">
        <f>'SCH data and adjusts'!E60</f>
        <v>5588</v>
      </c>
      <c r="Y20" s="435">
        <f>3*'What If Data'!E28</f>
        <v>0</v>
      </c>
      <c r="AA20" s="463" t="s">
        <v>2</v>
      </c>
      <c r="AB20" s="991">
        <f>Weights!C10</f>
        <v>1.4279999999999999</v>
      </c>
      <c r="AC20" s="842">
        <v>1</v>
      </c>
      <c r="AD20" s="842">
        <f t="shared" si="1"/>
        <v>1.4279999999999999</v>
      </c>
      <c r="AF20" s="1140">
        <v>1.3839999999999999</v>
      </c>
    </row>
    <row r="21" spans="1:45" s="10" customFormat="1">
      <c r="A21" s="461" t="s">
        <v>10</v>
      </c>
      <c r="B21" s="434">
        <f t="shared" si="2"/>
        <v>0</v>
      </c>
      <c r="C21" s="434">
        <f t="shared" si="3"/>
        <v>0</v>
      </c>
      <c r="D21" s="434">
        <f t="shared" si="0"/>
        <v>0</v>
      </c>
      <c r="E21" s="434"/>
      <c r="F21" s="461" t="s">
        <v>10</v>
      </c>
      <c r="G21" s="523">
        <f t="shared" si="4"/>
        <v>0</v>
      </c>
      <c r="H21" s="523">
        <f t="shared" si="4"/>
        <v>0</v>
      </c>
      <c r="I21" s="523">
        <f t="shared" si="5"/>
        <v>0</v>
      </c>
      <c r="J21" s="186"/>
      <c r="K21" s="435">
        <f t="shared" si="6"/>
        <v>0</v>
      </c>
      <c r="L21" s="435">
        <f t="shared" si="7"/>
        <v>0</v>
      </c>
      <c r="M21" s="435">
        <f t="shared" si="9"/>
        <v>0</v>
      </c>
      <c r="N21"/>
      <c r="O21" s="920">
        <f t="shared" si="8"/>
        <v>0</v>
      </c>
      <c r="P21"/>
      <c r="Q21" s="461" t="s">
        <v>10</v>
      </c>
      <c r="R21" s="434">
        <v>0</v>
      </c>
      <c r="S21" s="434">
        <v>0</v>
      </c>
      <c r="T21" s="434">
        <v>0</v>
      </c>
      <c r="U21" s="434">
        <f>'SCH data and adjusts'!B61</f>
        <v>0</v>
      </c>
      <c r="V21" s="434">
        <f>'SCH data and adjusts'!C61</f>
        <v>0</v>
      </c>
      <c r="W21" s="1519">
        <f>'SCH data and adjusts'!D61</f>
        <v>0</v>
      </c>
      <c r="X21" s="985">
        <f>'SCH data and adjusts'!E61</f>
        <v>0</v>
      </c>
      <c r="Y21" s="435">
        <f>3*'What If Data'!E29</f>
        <v>0</v>
      </c>
      <c r="Z21"/>
      <c r="AA21" s="461" t="s">
        <v>10</v>
      </c>
      <c r="AB21" s="992"/>
      <c r="AC21" s="841">
        <v>1</v>
      </c>
      <c r="AD21" s="841">
        <f t="shared" si="1"/>
        <v>0</v>
      </c>
      <c r="AE21"/>
      <c r="AF21" s="958"/>
      <c r="AG21"/>
      <c r="AH21"/>
      <c r="AI21"/>
      <c r="AJ21"/>
      <c r="AK21"/>
      <c r="AL21"/>
      <c r="AM21"/>
      <c r="AN21"/>
      <c r="AO21"/>
      <c r="AP21"/>
      <c r="AQ21"/>
      <c r="AR21"/>
      <c r="AS21"/>
    </row>
    <row r="22" spans="1:45">
      <c r="A22" s="461" t="s">
        <v>4</v>
      </c>
      <c r="B22" s="435">
        <f t="shared" si="2"/>
        <v>5325004.2066026246</v>
      </c>
      <c r="C22" s="435">
        <f t="shared" si="3"/>
        <v>5288658.2930613598</v>
      </c>
      <c r="D22" s="435">
        <f t="shared" si="0"/>
        <v>5196904.0458228337</v>
      </c>
      <c r="E22" s="435"/>
      <c r="F22" s="461" t="s">
        <v>4</v>
      </c>
      <c r="G22" s="523">
        <f t="shared" si="4"/>
        <v>0.14565452391499864</v>
      </c>
      <c r="H22" s="523">
        <f t="shared" si="4"/>
        <v>0.14242612455560563</v>
      </c>
      <c r="I22" s="523">
        <f t="shared" si="5"/>
        <v>0.14284912891280002</v>
      </c>
      <c r="J22" s="186"/>
      <c r="K22" s="435">
        <f t="shared" si="6"/>
        <v>123787.44626739512</v>
      </c>
      <c r="L22" s="435">
        <f t="shared" si="7"/>
        <v>124664.22744599071</v>
      </c>
      <c r="M22" s="435">
        <f t="shared" si="9"/>
        <v>126864.82146848421</v>
      </c>
      <c r="N22"/>
      <c r="O22" s="920">
        <f t="shared" si="8"/>
        <v>1.1521434672740865</v>
      </c>
      <c r="P22"/>
      <c r="Q22" s="461" t="s">
        <v>4</v>
      </c>
      <c r="R22" s="435">
        <v>33970</v>
      </c>
      <c r="S22" s="435">
        <v>36004</v>
      </c>
      <c r="T22" s="435">
        <v>35327</v>
      </c>
      <c r="U22" s="435">
        <f>'SCH data and adjusts'!B62</f>
        <v>35958</v>
      </c>
      <c r="V22" s="435">
        <f>'SCH data and adjusts'!C62</f>
        <v>36156</v>
      </c>
      <c r="W22" s="1518">
        <f>'SCH data and adjusts'!D62</f>
        <v>36088</v>
      </c>
      <c r="X22" s="985">
        <f>'SCH data and adjusts'!E62</f>
        <v>37868</v>
      </c>
      <c r="Y22" s="435">
        <f>3*'What If Data'!E30</f>
        <v>0</v>
      </c>
      <c r="AA22" s="461" t="s">
        <v>4</v>
      </c>
      <c r="AB22" s="991">
        <f>Weights!C12</f>
        <v>1.1521434672740865</v>
      </c>
      <c r="AC22" s="841">
        <v>1</v>
      </c>
      <c r="AD22" s="841">
        <f t="shared" si="1"/>
        <v>1.1521434672740865</v>
      </c>
      <c r="AF22" s="958">
        <v>1.1402031631853178</v>
      </c>
    </row>
    <row r="23" spans="1:45">
      <c r="A23" s="461" t="s">
        <v>14</v>
      </c>
      <c r="B23" s="434">
        <f t="shared" si="2"/>
        <v>0</v>
      </c>
      <c r="C23" s="434">
        <f t="shared" si="3"/>
        <v>0</v>
      </c>
      <c r="D23" s="434">
        <f t="shared" si="0"/>
        <v>0</v>
      </c>
      <c r="E23" s="434"/>
      <c r="F23" s="461" t="s">
        <v>14</v>
      </c>
      <c r="G23" s="523">
        <f t="shared" si="4"/>
        <v>0</v>
      </c>
      <c r="H23" s="523">
        <f t="shared" si="4"/>
        <v>0</v>
      </c>
      <c r="I23" s="523">
        <f t="shared" si="5"/>
        <v>0</v>
      </c>
      <c r="J23" s="186"/>
      <c r="K23" s="435">
        <f t="shared" si="6"/>
        <v>0</v>
      </c>
      <c r="L23" s="435">
        <f t="shared" si="7"/>
        <v>0</v>
      </c>
      <c r="M23" s="435">
        <f t="shared" si="9"/>
        <v>0</v>
      </c>
      <c r="N23"/>
      <c r="O23" s="920">
        <f t="shared" si="8"/>
        <v>0</v>
      </c>
      <c r="P23"/>
      <c r="Q23" s="461" t="s">
        <v>14</v>
      </c>
      <c r="R23" s="434">
        <v>0</v>
      </c>
      <c r="S23" s="434">
        <v>0</v>
      </c>
      <c r="T23" s="434">
        <v>0</v>
      </c>
      <c r="U23" s="434">
        <f>'SCH data and adjusts'!B63</f>
        <v>0</v>
      </c>
      <c r="V23" s="434">
        <f>'SCH data and adjusts'!C63</f>
        <v>0</v>
      </c>
      <c r="W23" s="1519">
        <f>'SCH data and adjusts'!D63</f>
        <v>0</v>
      </c>
      <c r="X23" s="985">
        <f>'SCH data and adjusts'!E63</f>
        <v>0</v>
      </c>
      <c r="Y23" s="435">
        <f>3*'What If Data'!E31</f>
        <v>0</v>
      </c>
      <c r="AA23" s="461" t="s">
        <v>14</v>
      </c>
      <c r="AB23" s="992"/>
      <c r="AC23" s="841">
        <v>1</v>
      </c>
      <c r="AD23" s="841">
        <f t="shared" si="1"/>
        <v>0</v>
      </c>
      <c r="AF23" s="958"/>
    </row>
    <row r="24" spans="1:45">
      <c r="A24" s="463" t="s">
        <v>17</v>
      </c>
      <c r="B24" s="443">
        <f t="shared" si="2"/>
        <v>6128249.732967441</v>
      </c>
      <c r="C24" s="443">
        <f t="shared" si="3"/>
        <v>5999697.8257594546</v>
      </c>
      <c r="D24" s="443">
        <f t="shared" si="0"/>
        <v>5939698.791377306</v>
      </c>
      <c r="E24" s="443"/>
      <c r="F24" s="463" t="s">
        <v>17</v>
      </c>
      <c r="G24" s="524">
        <f t="shared" si="4"/>
        <v>0.13329362998974098</v>
      </c>
      <c r="H24" s="524">
        <f t="shared" si="4"/>
        <v>0.12751758714116079</v>
      </c>
      <c r="I24" s="524">
        <f t="shared" si="5"/>
        <v>0.12627064695650975</v>
      </c>
      <c r="J24" s="186"/>
      <c r="K24" s="435">
        <f t="shared" si="6"/>
        <v>113282.29028966006</v>
      </c>
      <c r="L24" s="435">
        <f t="shared" si="7"/>
        <v>111614.92694076074</v>
      </c>
      <c r="M24" s="435">
        <f t="shared" si="9"/>
        <v>112141.41244519829</v>
      </c>
      <c r="N24"/>
      <c r="O24" s="920">
        <f t="shared" si="8"/>
        <v>0.95550908246379429</v>
      </c>
      <c r="P24"/>
      <c r="Q24" s="463" t="s">
        <v>17</v>
      </c>
      <c r="R24" s="443">
        <v>40816</v>
      </c>
      <c r="S24" s="443">
        <v>39061</v>
      </c>
      <c r="T24" s="443">
        <v>40158</v>
      </c>
      <c r="U24" s="443">
        <f>'SCH data and adjusts'!B64</f>
        <v>38378</v>
      </c>
      <c r="V24" s="443">
        <f>'SCH data and adjusts'!C64</f>
        <v>40021</v>
      </c>
      <c r="W24" s="1521">
        <f>'SCH data and adjusts'!D64</f>
        <v>38413</v>
      </c>
      <c r="X24" s="987">
        <f>'SCH data and adjusts'!E64</f>
        <v>38929</v>
      </c>
      <c r="Y24" s="435">
        <f>3*'What If Data'!E32</f>
        <v>0</v>
      </c>
      <c r="AA24" s="463" t="s">
        <v>17</v>
      </c>
      <c r="AB24" s="991">
        <f>Weights!C14</f>
        <v>0.95550908246379429</v>
      </c>
      <c r="AC24" s="842">
        <v>1</v>
      </c>
      <c r="AD24" s="842">
        <f t="shared" si="1"/>
        <v>0.95550908246379429</v>
      </c>
      <c r="AF24" s="1088">
        <v>0.9661071118879152</v>
      </c>
    </row>
    <row r="25" spans="1:45">
      <c r="A25" s="461" t="s">
        <v>316</v>
      </c>
      <c r="B25" s="434">
        <f t="shared" si="2"/>
        <v>0</v>
      </c>
      <c r="C25" s="434">
        <f t="shared" si="3"/>
        <v>0</v>
      </c>
      <c r="D25" s="434">
        <f t="shared" si="0"/>
        <v>0</v>
      </c>
      <c r="E25" s="434"/>
      <c r="F25" s="461" t="s">
        <v>316</v>
      </c>
      <c r="G25" s="523">
        <f t="shared" si="4"/>
        <v>0</v>
      </c>
      <c r="H25" s="523">
        <f t="shared" si="4"/>
        <v>0</v>
      </c>
      <c r="I25" s="523">
        <f t="shared" si="5"/>
        <v>0</v>
      </c>
      <c r="J25" s="186"/>
      <c r="K25" s="435">
        <f t="shared" si="6"/>
        <v>0</v>
      </c>
      <c r="L25" s="435">
        <f t="shared" si="7"/>
        <v>0</v>
      </c>
      <c r="M25" s="435">
        <f t="shared" si="9"/>
        <v>0</v>
      </c>
      <c r="N25"/>
      <c r="O25" s="920">
        <f t="shared" si="8"/>
        <v>0</v>
      </c>
      <c r="P25"/>
      <c r="Q25" s="461" t="s">
        <v>316</v>
      </c>
      <c r="R25" s="434">
        <v>0</v>
      </c>
      <c r="S25" s="434">
        <v>0</v>
      </c>
      <c r="T25" s="434">
        <v>0</v>
      </c>
      <c r="U25" s="434">
        <f>'SCH data and adjusts'!B65</f>
        <v>0</v>
      </c>
      <c r="V25" s="434">
        <f>'SCH data and adjusts'!C65</f>
        <v>0</v>
      </c>
      <c r="W25" s="1519">
        <f>'SCH data and adjusts'!D65</f>
        <v>0</v>
      </c>
      <c r="X25" s="985">
        <f>'SCH data and adjusts'!E65</f>
        <v>0</v>
      </c>
      <c r="Y25" s="435">
        <f>3*'What If Data'!E33</f>
        <v>0</v>
      </c>
      <c r="AA25" s="461" t="s">
        <v>316</v>
      </c>
      <c r="AB25" s="992"/>
      <c r="AC25" s="841">
        <v>1</v>
      </c>
      <c r="AD25" s="841">
        <f t="shared" si="1"/>
        <v>0</v>
      </c>
      <c r="AF25" s="958"/>
    </row>
    <row r="26" spans="1:45">
      <c r="A26" s="461" t="s">
        <v>7</v>
      </c>
      <c r="B26" s="435">
        <f t="shared" si="2"/>
        <v>11856172.955458855</v>
      </c>
      <c r="C26" s="435">
        <f t="shared" si="3"/>
        <v>12719977.050680052</v>
      </c>
      <c r="D26" s="435">
        <f t="shared" si="0"/>
        <v>13488643.55979196</v>
      </c>
      <c r="E26" s="435"/>
      <c r="F26" s="461" t="s">
        <v>7</v>
      </c>
      <c r="G26" s="523">
        <f t="shared" si="4"/>
        <v>0.33453355606110791</v>
      </c>
      <c r="H26" s="523">
        <f t="shared" si="4"/>
        <v>0.35687608298900098</v>
      </c>
      <c r="I26" s="523">
        <f t="shared" si="5"/>
        <v>0.37460942190234747</v>
      </c>
      <c r="J26" s="186"/>
      <c r="K26" s="435">
        <f t="shared" si="6"/>
        <v>284310.11603677861</v>
      </c>
      <c r="L26" s="435">
        <f t="shared" si="7"/>
        <v>312370.22925808484</v>
      </c>
      <c r="M26" s="435">
        <f t="shared" si="9"/>
        <v>332691.96523462259</v>
      </c>
      <c r="N26"/>
      <c r="O26" s="920">
        <f t="shared" si="8"/>
        <v>1.3870545339251739</v>
      </c>
      <c r="P26"/>
      <c r="Q26" s="461" t="s">
        <v>7</v>
      </c>
      <c r="R26" s="435">
        <v>51009</v>
      </c>
      <c r="S26" s="435">
        <v>56576</v>
      </c>
      <c r="T26" s="435">
        <v>58986</v>
      </c>
      <c r="U26" s="435">
        <f>'SCH data and adjusts'!B66</f>
        <v>69318</v>
      </c>
      <c r="V26" s="435">
        <f>'SCH data and adjusts'!C66</f>
        <v>76670</v>
      </c>
      <c r="W26" s="1518">
        <f>'SCH data and adjusts'!D66</f>
        <v>79216</v>
      </c>
      <c r="X26" s="985">
        <f>'SCH data and adjusts'!E66</f>
        <v>83969</v>
      </c>
      <c r="Y26" s="435">
        <f>3*'What If Data'!E34</f>
        <v>0</v>
      </c>
      <c r="AA26" s="461" t="s">
        <v>7</v>
      </c>
      <c r="AB26" s="991">
        <f>Weights!C16</f>
        <v>1.3870545339251739</v>
      </c>
      <c r="AC26" s="841">
        <v>1</v>
      </c>
      <c r="AD26" s="841">
        <f t="shared" si="1"/>
        <v>1.3870545339251739</v>
      </c>
      <c r="AF26" s="1140">
        <v>1.3839999999999999</v>
      </c>
    </row>
    <row r="27" spans="1:45">
      <c r="A27" s="461" t="s">
        <v>9</v>
      </c>
      <c r="B27" s="435">
        <f>B52*E$9</f>
        <v>4864557.9025227875</v>
      </c>
      <c r="C27" s="435">
        <f t="shared" si="3"/>
        <v>4471570.5261977362</v>
      </c>
      <c r="D27" s="435">
        <f t="shared" si="0"/>
        <v>3946342.3287567198</v>
      </c>
      <c r="E27" s="435"/>
      <c r="F27" s="461" t="s">
        <v>9</v>
      </c>
      <c r="G27" s="523">
        <f t="shared" si="4"/>
        <v>0.10414645133415587</v>
      </c>
      <c r="H27" s="523">
        <f t="shared" si="4"/>
        <v>9.4068686425367587E-2</v>
      </c>
      <c r="I27" s="523">
        <f t="shared" si="5"/>
        <v>8.0633886207528746E-2</v>
      </c>
      <c r="J27" s="186"/>
      <c r="K27" s="435">
        <f t="shared" si="6"/>
        <v>88510.970356061531</v>
      </c>
      <c r="L27" s="435">
        <f t="shared" si="7"/>
        <v>82337.42339523659</v>
      </c>
      <c r="M27" s="435">
        <f t="shared" si="9"/>
        <v>71611.242265766312</v>
      </c>
      <c r="N27"/>
      <c r="O27" s="920">
        <f t="shared" si="8"/>
        <v>0.95123990151385873</v>
      </c>
      <c r="P27"/>
      <c r="Q27" s="461" t="s">
        <v>9</v>
      </c>
      <c r="R27" s="435">
        <v>15170</v>
      </c>
      <c r="S27" s="435">
        <v>24174</v>
      </c>
      <c r="T27" s="435">
        <v>31740</v>
      </c>
      <c r="U27" s="435">
        <f>'SCH data and adjusts'!B67</f>
        <v>32378</v>
      </c>
      <c r="V27" s="435">
        <f>'SCH data and adjusts'!C67</f>
        <v>28930</v>
      </c>
      <c r="W27" s="1518">
        <f>'SCH data and adjusts'!D67</f>
        <v>25250</v>
      </c>
      <c r="X27" s="985">
        <f>'SCH data and adjusts'!E67</f>
        <v>21102</v>
      </c>
      <c r="Y27" s="435">
        <f>3*'What If Data'!E35</f>
        <v>0</v>
      </c>
      <c r="AA27" s="461" t="s">
        <v>9</v>
      </c>
      <c r="AB27" s="991">
        <f>Weights!C17</f>
        <v>0.95123990151385873</v>
      </c>
      <c r="AC27" s="841">
        <v>1</v>
      </c>
      <c r="AD27" s="841">
        <f t="shared" si="1"/>
        <v>0.95123990151385873</v>
      </c>
      <c r="AF27" s="958">
        <v>0.88220300342126901</v>
      </c>
      <c r="AG27" s="966"/>
      <c r="AH27" s="966"/>
      <c r="AI27" s="966"/>
      <c r="AJ27" s="966"/>
    </row>
    <row r="28" spans="1:45">
      <c r="A28" s="463" t="s">
        <v>5</v>
      </c>
      <c r="B28" s="443">
        <f t="shared" si="2"/>
        <v>912115.19585674361</v>
      </c>
      <c r="C28" s="443">
        <f t="shared" si="3"/>
        <v>875503.39027016459</v>
      </c>
      <c r="D28" s="443">
        <f t="shared" si="0"/>
        <v>890255.4086025639</v>
      </c>
      <c r="E28" s="443"/>
      <c r="F28" s="463" t="s">
        <v>5</v>
      </c>
      <c r="G28" s="524">
        <f t="shared" si="4"/>
        <v>1.4025698856456931E-2</v>
      </c>
      <c r="H28" s="524">
        <f t="shared" si="4"/>
        <v>1.406006705707963E-2</v>
      </c>
      <c r="I28" s="524">
        <f t="shared" si="5"/>
        <v>1.5521994815233305E-2</v>
      </c>
      <c r="J28" s="186"/>
      <c r="K28" s="435">
        <f t="shared" si="6"/>
        <v>11920.024156404135</v>
      </c>
      <c r="L28" s="435">
        <f t="shared" si="7"/>
        <v>12306.642499602225</v>
      </c>
      <c r="M28" s="435">
        <f t="shared" si="9"/>
        <v>13785.139020843275</v>
      </c>
      <c r="N28"/>
      <c r="O28" s="920">
        <f t="shared" si="8"/>
        <v>1.4161844073190133</v>
      </c>
      <c r="P28"/>
      <c r="Q28" s="463" t="s">
        <v>5</v>
      </c>
      <c r="R28" s="443">
        <v>4009</v>
      </c>
      <c r="S28" s="443">
        <v>3691</v>
      </c>
      <c r="T28" s="443">
        <v>2833</v>
      </c>
      <c r="U28" s="443">
        <f>'SCH data and adjusts'!B68</f>
        <v>2891</v>
      </c>
      <c r="V28" s="443">
        <f>'SCH data and adjusts'!C68</f>
        <v>2693</v>
      </c>
      <c r="W28" s="1521">
        <f>'SCH data and adjusts'!D68</f>
        <v>3106</v>
      </c>
      <c r="X28" s="987">
        <f>'SCH data and adjusts'!E68</f>
        <v>3935</v>
      </c>
      <c r="Y28" s="435">
        <f>3*'What If Data'!E36</f>
        <v>0</v>
      </c>
      <c r="AA28" s="463" t="s">
        <v>5</v>
      </c>
      <c r="AB28" s="991">
        <f>Weights!C18</f>
        <v>1.4161844073190133</v>
      </c>
      <c r="AC28" s="842">
        <v>1</v>
      </c>
      <c r="AD28" s="842">
        <f t="shared" si="1"/>
        <v>1.4161844073190133</v>
      </c>
      <c r="AF28" s="1140">
        <v>1.3843882959939655</v>
      </c>
      <c r="AG28" s="1768"/>
      <c r="AH28" s="1768"/>
      <c r="AI28" s="1768"/>
      <c r="AJ28" s="1768"/>
    </row>
    <row r="29" spans="1:45">
      <c r="A29" s="461"/>
      <c r="B29" s="434"/>
      <c r="C29" s="434">
        <f t="shared" si="3"/>
        <v>0</v>
      </c>
      <c r="D29" s="434"/>
      <c r="E29" s="434"/>
      <c r="F29" s="461"/>
      <c r="G29" s="523"/>
      <c r="H29" s="523"/>
      <c r="I29" s="523"/>
      <c r="J29" s="186"/>
      <c r="K29" s="434"/>
      <c r="L29" s="462"/>
      <c r="M29" s="435"/>
      <c r="N29"/>
      <c r="O29" s="920"/>
      <c r="P29"/>
      <c r="Q29" s="461"/>
      <c r="R29" s="434"/>
      <c r="S29" s="434"/>
      <c r="T29" s="434"/>
      <c r="U29" s="434"/>
      <c r="V29" s="434"/>
      <c r="W29" s="1519"/>
      <c r="X29" s="986"/>
      <c r="Y29" s="434"/>
      <c r="AA29" s="461"/>
      <c r="AB29" s="993"/>
      <c r="AC29" s="841"/>
      <c r="AD29" s="841"/>
      <c r="AF29" s="958"/>
    </row>
    <row r="30" spans="1:45">
      <c r="A30" s="461" t="s">
        <v>516</v>
      </c>
      <c r="B30" s="435">
        <f>B55*E$9</f>
        <v>0</v>
      </c>
      <c r="C30" s="435">
        <f t="shared" si="3"/>
        <v>0</v>
      </c>
      <c r="D30" s="435">
        <f>D55*E$9</f>
        <v>0</v>
      </c>
      <c r="E30" s="435"/>
      <c r="F30" s="461" t="s">
        <v>516</v>
      </c>
      <c r="G30" s="523">
        <f t="shared" ref="G30:H34" si="10">K30/K$35</f>
        <v>0</v>
      </c>
      <c r="H30" s="523">
        <f t="shared" si="10"/>
        <v>0</v>
      </c>
      <c r="I30" s="523">
        <f>M30/M$35</f>
        <v>0</v>
      </c>
      <c r="J30" s="186"/>
      <c r="K30" s="435">
        <f>O30*(V30+T30+U30)</f>
        <v>0</v>
      </c>
      <c r="L30" s="435">
        <f>O30*(W30+U30+V30)</f>
        <v>0</v>
      </c>
      <c r="M30" s="435">
        <f>O30*(V30+W30+X30+Y30)</f>
        <v>0</v>
      </c>
      <c r="N30"/>
      <c r="O30" s="920">
        <f t="shared" si="8"/>
        <v>0</v>
      </c>
      <c r="P30"/>
      <c r="Q30" s="461" t="s">
        <v>516</v>
      </c>
      <c r="R30" s="434">
        <v>0</v>
      </c>
      <c r="S30" s="434">
        <v>0</v>
      </c>
      <c r="T30" s="434">
        <v>0</v>
      </c>
      <c r="U30" s="434">
        <v>0</v>
      </c>
      <c r="V30" s="434"/>
      <c r="W30" s="1519"/>
      <c r="X30" s="985">
        <v>0</v>
      </c>
      <c r="Y30" s="434"/>
      <c r="AA30" s="461" t="s">
        <v>516</v>
      </c>
      <c r="AB30" s="991">
        <f>Weights!C20</f>
        <v>0</v>
      </c>
      <c r="AC30" s="841">
        <v>1</v>
      </c>
      <c r="AD30" s="841">
        <f t="shared" ref="AD30:AD36" si="11">IF(AC$11="yes",AB30,AC30)</f>
        <v>0</v>
      </c>
      <c r="AF30" s="958"/>
    </row>
    <row r="31" spans="1:45">
      <c r="A31" s="461" t="s">
        <v>537</v>
      </c>
      <c r="B31" s="434">
        <f>B56*E$9</f>
        <v>0</v>
      </c>
      <c r="C31" s="434">
        <f t="shared" si="3"/>
        <v>0</v>
      </c>
      <c r="D31" s="434">
        <f>D56*E$9</f>
        <v>0</v>
      </c>
      <c r="E31" s="434"/>
      <c r="F31" s="461" t="s">
        <v>537</v>
      </c>
      <c r="G31" s="523">
        <f t="shared" si="10"/>
        <v>0</v>
      </c>
      <c r="H31" s="523">
        <f t="shared" si="10"/>
        <v>0</v>
      </c>
      <c r="I31" s="523">
        <f>M31/M$35</f>
        <v>0</v>
      </c>
      <c r="J31" s="186"/>
      <c r="K31" s="435">
        <f>O31*(V31+T31+U31)</f>
        <v>0</v>
      </c>
      <c r="L31" s="435">
        <f>O31*(W31+U31+V31)</f>
        <v>0</v>
      </c>
      <c r="M31" s="435">
        <f>O31*(V31+W31+X31+Y31)</f>
        <v>0</v>
      </c>
      <c r="N31"/>
      <c r="O31" s="920">
        <f t="shared" si="8"/>
        <v>1.232</v>
      </c>
      <c r="P31"/>
      <c r="Q31" s="461" t="s">
        <v>537</v>
      </c>
      <c r="R31" s="434">
        <v>0</v>
      </c>
      <c r="S31" s="434">
        <v>0</v>
      </c>
      <c r="T31" s="434">
        <v>0</v>
      </c>
      <c r="U31" s="434">
        <v>0</v>
      </c>
      <c r="V31" s="434"/>
      <c r="W31" s="1519"/>
      <c r="X31" s="985">
        <v>0</v>
      </c>
      <c r="Y31" s="434"/>
      <c r="AA31" s="461" t="s">
        <v>537</v>
      </c>
      <c r="AB31" s="991">
        <f>Weights!C21</f>
        <v>1.232</v>
      </c>
      <c r="AC31" s="841">
        <v>1</v>
      </c>
      <c r="AD31" s="841">
        <f t="shared" si="11"/>
        <v>1.232</v>
      </c>
      <c r="AF31">
        <v>1.0820000000000001</v>
      </c>
    </row>
    <row r="32" spans="1:45">
      <c r="A32" s="463" t="s">
        <v>518</v>
      </c>
      <c r="B32" s="443">
        <f>B57*E$9</f>
        <v>697273.86505372252</v>
      </c>
      <c r="C32" s="443">
        <f t="shared" si="3"/>
        <v>647997.71797183238</v>
      </c>
      <c r="D32" s="443">
        <f>D57*E$9</f>
        <v>617786.12318255415</v>
      </c>
      <c r="E32" s="443"/>
      <c r="F32" s="463" t="s">
        <v>518</v>
      </c>
      <c r="G32" s="524">
        <f t="shared" si="10"/>
        <v>0</v>
      </c>
      <c r="H32" s="524">
        <f t="shared" si="10"/>
        <v>0</v>
      </c>
      <c r="I32" s="524">
        <f>M32/M$35</f>
        <v>0</v>
      </c>
      <c r="J32" s="186"/>
      <c r="K32" s="435">
        <f>O32*(V32+T32+U32)</f>
        <v>0</v>
      </c>
      <c r="L32" s="435">
        <f>O32*(W32+U32+V32)</f>
        <v>0</v>
      </c>
      <c r="M32" s="435">
        <f>O32*(V32+W32+X32+Y32)</f>
        <v>0</v>
      </c>
      <c r="N32"/>
      <c r="O32" s="920">
        <f t="shared" si="8"/>
        <v>1.0820000000000001</v>
      </c>
      <c r="P32"/>
      <c r="Q32" s="463" t="s">
        <v>518</v>
      </c>
      <c r="R32" s="444">
        <v>0</v>
      </c>
      <c r="S32" s="444">
        <v>0</v>
      </c>
      <c r="T32" s="444">
        <v>0</v>
      </c>
      <c r="U32" s="444">
        <v>0</v>
      </c>
      <c r="V32" s="444"/>
      <c r="W32" s="1522"/>
      <c r="X32" s="987">
        <v>0</v>
      </c>
      <c r="Y32" s="435">
        <f>3*'What If Data'!E40</f>
        <v>0</v>
      </c>
      <c r="AA32" s="463" t="s">
        <v>518</v>
      </c>
      <c r="AB32" s="991">
        <f>Weights!C22</f>
        <v>1.0820000000000001</v>
      </c>
      <c r="AC32" s="842">
        <v>1</v>
      </c>
      <c r="AD32" s="842">
        <f t="shared" si="11"/>
        <v>1.0820000000000001</v>
      </c>
      <c r="AF32" s="966">
        <v>1.0820000000000001</v>
      </c>
    </row>
    <row r="33" spans="1:57">
      <c r="A33" s="461" t="s">
        <v>536</v>
      </c>
      <c r="B33" s="435">
        <f>B58*E$9</f>
        <v>0</v>
      </c>
      <c r="C33" s="435">
        <f t="shared" si="3"/>
        <v>0</v>
      </c>
      <c r="D33" s="435">
        <f>D58*E$9</f>
        <v>0</v>
      </c>
      <c r="E33" s="435"/>
      <c r="F33" s="461" t="s">
        <v>536</v>
      </c>
      <c r="G33" s="523">
        <f t="shared" si="10"/>
        <v>0</v>
      </c>
      <c r="H33" s="523">
        <f t="shared" si="10"/>
        <v>0</v>
      </c>
      <c r="I33" s="523">
        <f>M33/M$35</f>
        <v>0</v>
      </c>
      <c r="J33" s="186"/>
      <c r="K33" s="435">
        <f>O33*(V33+T33+U33)</f>
        <v>0</v>
      </c>
      <c r="L33" s="435">
        <f>O33*(W33+U33+V33)</f>
        <v>0</v>
      </c>
      <c r="M33" s="435">
        <f>O33*(V33+W33+X33+Y33)</f>
        <v>0</v>
      </c>
      <c r="N33"/>
      <c r="O33" s="920">
        <f t="shared" si="8"/>
        <v>0</v>
      </c>
      <c r="P33"/>
      <c r="Q33" s="461" t="s">
        <v>536</v>
      </c>
      <c r="R33" s="434">
        <v>0</v>
      </c>
      <c r="S33" s="434">
        <v>0</v>
      </c>
      <c r="T33" s="434">
        <v>0</v>
      </c>
      <c r="U33" s="434">
        <v>0</v>
      </c>
      <c r="V33" s="434"/>
      <c r="W33" s="1519"/>
      <c r="X33" s="985">
        <v>0</v>
      </c>
      <c r="Y33" s="434"/>
      <c r="AA33" s="461" t="s">
        <v>536</v>
      </c>
      <c r="AB33" s="991">
        <f>Weights!C23</f>
        <v>0</v>
      </c>
      <c r="AC33" s="841">
        <v>1</v>
      </c>
      <c r="AD33" s="841">
        <f t="shared" si="11"/>
        <v>0</v>
      </c>
    </row>
    <row r="34" spans="1:57">
      <c r="A34" s="467" t="s">
        <v>520</v>
      </c>
      <c r="B34" s="435">
        <f>B59*E$9</f>
        <v>0</v>
      </c>
      <c r="C34" s="435">
        <f t="shared" si="3"/>
        <v>0</v>
      </c>
      <c r="D34" s="435">
        <f>D59*E$9</f>
        <v>0</v>
      </c>
      <c r="E34" s="435"/>
      <c r="F34" s="467" t="s">
        <v>520</v>
      </c>
      <c r="G34" s="470">
        <f t="shared" si="10"/>
        <v>0</v>
      </c>
      <c r="H34" s="470">
        <f t="shared" si="10"/>
        <v>0</v>
      </c>
      <c r="I34" s="470">
        <f>M34/M$35</f>
        <v>0</v>
      </c>
      <c r="J34" s="186"/>
      <c r="K34" s="435">
        <f>O34*(V34+T34+U34)</f>
        <v>0</v>
      </c>
      <c r="L34" s="435">
        <f>O34*(W34+U34+V34)</f>
        <v>0</v>
      </c>
      <c r="M34" s="435">
        <f>O34*(V34+W34+X34+Y34)</f>
        <v>0</v>
      </c>
      <c r="N34"/>
      <c r="O34" s="920">
        <f t="shared" si="8"/>
        <v>0</v>
      </c>
      <c r="P34"/>
      <c r="Q34" s="467" t="s">
        <v>520</v>
      </c>
      <c r="R34" s="434">
        <v>0</v>
      </c>
      <c r="S34" s="434">
        <v>0</v>
      </c>
      <c r="T34" s="434">
        <v>0</v>
      </c>
      <c r="U34" s="434">
        <v>0</v>
      </c>
      <c r="V34" s="434"/>
      <c r="W34" s="1519"/>
      <c r="X34" s="985">
        <v>0</v>
      </c>
      <c r="Y34" s="434"/>
      <c r="AA34" s="467" t="s">
        <v>520</v>
      </c>
      <c r="AB34" s="991">
        <f>Weights!C24</f>
        <v>0</v>
      </c>
      <c r="AC34" s="841">
        <v>1</v>
      </c>
      <c r="AD34" s="841">
        <f t="shared" si="11"/>
        <v>0</v>
      </c>
    </row>
    <row r="35" spans="1:57">
      <c r="A35" s="468"/>
      <c r="B35" s="447">
        <f>SUM(B17:B34)</f>
        <v>41387989.474827372</v>
      </c>
      <c r="C35" s="447">
        <f>SUM(C17:C34)</f>
        <v>41387989.474827379</v>
      </c>
      <c r="D35" s="447">
        <f>SUM(D17:D34)</f>
        <v>41387989.474827386</v>
      </c>
      <c r="E35" s="331"/>
      <c r="F35" s="468"/>
      <c r="G35" s="471">
        <f>SUM(G17:G34)</f>
        <v>0.99999999999999989</v>
      </c>
      <c r="H35" s="471">
        <f>SUM(H17:H34)</f>
        <v>0.99999999999999989</v>
      </c>
      <c r="I35" s="471">
        <f>SUM(I17:I34)</f>
        <v>1</v>
      </c>
      <c r="J35" s="186"/>
      <c r="K35" s="447">
        <f>SUM(K17:K34)</f>
        <v>849870.24735074653</v>
      </c>
      <c r="L35" s="447">
        <f>SUM(L17:L34)</f>
        <v>875290.455560487</v>
      </c>
      <c r="M35" s="447">
        <f>SUM(M17:M34)</f>
        <v>888103.57076749706</v>
      </c>
      <c r="N35"/>
      <c r="O35" s="148"/>
      <c r="P35"/>
      <c r="Q35" s="446" t="s">
        <v>180</v>
      </c>
      <c r="R35" s="447">
        <f t="shared" ref="R35:W35" si="12">SUM(R17:R34)</f>
        <v>207867</v>
      </c>
      <c r="S35" s="447">
        <f t="shared" si="12"/>
        <v>225543</v>
      </c>
      <c r="T35" s="447">
        <f t="shared" si="12"/>
        <v>231018</v>
      </c>
      <c r="U35" s="447">
        <f>SUM(U17:U34)</f>
        <v>243757</v>
      </c>
      <c r="V35" s="447">
        <f t="shared" si="12"/>
        <v>251938</v>
      </c>
      <c r="W35" s="447">
        <f t="shared" si="12"/>
        <v>249180</v>
      </c>
      <c r="X35" s="989">
        <f>SUM(X17:X34)</f>
        <v>251032</v>
      </c>
      <c r="Y35" s="447"/>
      <c r="AA35" s="843" t="s">
        <v>711</v>
      </c>
      <c r="AB35" s="994">
        <v>1.181</v>
      </c>
      <c r="AC35" s="844">
        <v>1</v>
      </c>
      <c r="AD35" s="844">
        <f t="shared" si="11"/>
        <v>1.181</v>
      </c>
    </row>
    <row r="36" spans="1:57" ht="16.5" thickBot="1">
      <c r="E36" s="42"/>
      <c r="F36"/>
      <c r="M36"/>
      <c r="N36"/>
      <c r="O36" s="148"/>
      <c r="P36"/>
      <c r="Q36"/>
      <c r="R36" s="438"/>
      <c r="S36" s="438"/>
      <c r="T36" s="438"/>
      <c r="U36" s="438"/>
      <c r="V36" s="438"/>
      <c r="W36" s="1179"/>
      <c r="X36" s="1179"/>
      <c r="Y36" s="438"/>
      <c r="AA36" s="845" t="s">
        <v>824</v>
      </c>
      <c r="AB36" s="995">
        <v>1.0549999999999999</v>
      </c>
      <c r="AC36" s="846">
        <v>1</v>
      </c>
      <c r="AD36" s="846">
        <f t="shared" si="11"/>
        <v>1.0549999999999999</v>
      </c>
    </row>
    <row r="37" spans="1:57" ht="16.5" thickTop="1">
      <c r="E37" s="42"/>
      <c r="F37"/>
      <c r="L37" s="42"/>
      <c r="N37"/>
      <c r="O37" s="148"/>
      <c r="P37"/>
      <c r="Q37"/>
    </row>
    <row r="38" spans="1:57">
      <c r="E38" s="42"/>
      <c r="F38"/>
      <c r="L38" s="42"/>
      <c r="N38"/>
      <c r="O38" s="148"/>
      <c r="P38"/>
      <c r="Q38" s="10" t="s">
        <v>544</v>
      </c>
      <c r="R38" s="380"/>
      <c r="S38" s="380"/>
      <c r="T38" s="380"/>
      <c r="U38" s="380"/>
      <c r="V38" s="380"/>
      <c r="W38" s="380"/>
      <c r="X38" s="380"/>
      <c r="Y38" s="380"/>
      <c r="Z38" s="380"/>
      <c r="AA38" s="158" t="s">
        <v>548</v>
      </c>
      <c r="AB38" s="158"/>
      <c r="AC38" s="158"/>
      <c r="AD38" s="158"/>
      <c r="AE38" s="158"/>
      <c r="AF38" s="640" t="s">
        <v>1654</v>
      </c>
      <c r="AG38" s="640" t="s">
        <v>176</v>
      </c>
      <c r="AH38" s="158"/>
      <c r="AI38" s="158"/>
      <c r="AJ38" s="158" t="s">
        <v>1652</v>
      </c>
      <c r="AK38" s="158"/>
      <c r="AL38" s="158"/>
      <c r="AM38" s="158"/>
      <c r="AN38" s="158"/>
      <c r="AO38" s="158"/>
      <c r="AP38" s="158" t="s">
        <v>1653</v>
      </c>
      <c r="AQ38" s="158"/>
      <c r="AR38" s="158"/>
      <c r="AS38" s="158"/>
      <c r="AT38" s="158" t="s">
        <v>827</v>
      </c>
    </row>
    <row r="39" spans="1:57">
      <c r="E39" s="42"/>
      <c r="F39"/>
      <c r="L39" s="42"/>
      <c r="N39"/>
      <c r="O39" s="148"/>
      <c r="P39"/>
      <c r="Q39" s="1422"/>
      <c r="R39" s="1422"/>
      <c r="S39" s="1422"/>
      <c r="T39" s="1422"/>
      <c r="U39" s="457" t="s">
        <v>663</v>
      </c>
      <c r="V39" s="457" t="s">
        <v>962</v>
      </c>
      <c r="W39" s="457"/>
      <c r="X39" s="457"/>
      <c r="Y39" s="457"/>
      <c r="Z39" s="380"/>
      <c r="AA39" s="14"/>
      <c r="AB39" s="14"/>
      <c r="AC39" s="14"/>
      <c r="AD39" s="14"/>
      <c r="AE39" s="14"/>
      <c r="AT39" s="14"/>
      <c r="AU39" s="14"/>
      <c r="AV39" s="14"/>
      <c r="AW39" s="14"/>
      <c r="AX39" s="14"/>
    </row>
    <row r="40" spans="1:57" ht="25.5">
      <c r="A40" s="458" t="s">
        <v>557</v>
      </c>
      <c r="B40" s="211"/>
      <c r="C40" s="211"/>
      <c r="D40" s="211"/>
      <c r="E40" s="42"/>
      <c r="F40" s="456" t="s">
        <v>552</v>
      </c>
      <c r="G40" s="456"/>
      <c r="H40" s="456"/>
      <c r="I40" s="456"/>
      <c r="J40" s="456"/>
      <c r="K40" s="456"/>
      <c r="L40" s="456"/>
      <c r="M40" s="456"/>
      <c r="N40"/>
      <c r="O40" s="148"/>
      <c r="P40"/>
      <c r="Q40" s="1424">
        <v>18769</v>
      </c>
      <c r="R40" s="1424" t="s">
        <v>0</v>
      </c>
      <c r="S40" s="1424" t="s">
        <v>12</v>
      </c>
      <c r="T40" s="1424" t="s">
        <v>545</v>
      </c>
      <c r="U40" s="457" t="s">
        <v>825</v>
      </c>
      <c r="V40" s="457" t="s">
        <v>962</v>
      </c>
      <c r="W40" s="457" t="s">
        <v>1475</v>
      </c>
      <c r="X40" s="457" t="s">
        <v>1571</v>
      </c>
      <c r="Y40" s="1425"/>
      <c r="Z40" s="148"/>
      <c r="AA40" s="480"/>
      <c r="AB40" s="501" t="s">
        <v>507</v>
      </c>
      <c r="AC40" s="501" t="s">
        <v>508</v>
      </c>
      <c r="AD40" s="502" t="s">
        <v>509</v>
      </c>
      <c r="AE40" s="501" t="s">
        <v>510</v>
      </c>
      <c r="AF40" s="501">
        <v>2017</v>
      </c>
      <c r="AG40" s="1240">
        <v>2018</v>
      </c>
      <c r="AH40" s="1240">
        <v>2019</v>
      </c>
      <c r="AI40" s="1240"/>
      <c r="AJ40" s="501" t="s">
        <v>510</v>
      </c>
      <c r="AK40" s="501">
        <v>2017</v>
      </c>
      <c r="AL40" s="501" t="s">
        <v>840</v>
      </c>
      <c r="AM40" s="501" t="s">
        <v>1245</v>
      </c>
      <c r="AN40" s="1240"/>
      <c r="AO40" s="1240"/>
      <c r="AP40" s="1240" t="s">
        <v>812</v>
      </c>
      <c r="AQ40" s="1240" t="s">
        <v>840</v>
      </c>
      <c r="AR40" s="1240" t="s">
        <v>1213</v>
      </c>
      <c r="AS40" s="1240"/>
      <c r="AT40" s="503"/>
      <c r="AU40" s="501" t="s">
        <v>507</v>
      </c>
      <c r="AV40" s="501" t="s">
        <v>63</v>
      </c>
      <c r="AW40" s="502" t="s">
        <v>62</v>
      </c>
      <c r="AX40" s="501" t="s">
        <v>417</v>
      </c>
      <c r="AY40" s="501" t="s">
        <v>812</v>
      </c>
      <c r="AZ40" s="1205" t="s">
        <v>840</v>
      </c>
      <c r="BA40" s="1205" t="s">
        <v>1245</v>
      </c>
    </row>
    <row r="41" spans="1:57" ht="38.25">
      <c r="A41" s="459"/>
      <c r="B41" s="460" t="s">
        <v>1478</v>
      </c>
      <c r="C41" s="460" t="s">
        <v>1665</v>
      </c>
      <c r="D41" s="460" t="s">
        <v>1582</v>
      </c>
      <c r="E41" s="42"/>
      <c r="F41" s="214"/>
      <c r="G41" s="460" t="s">
        <v>983</v>
      </c>
      <c r="H41" s="460" t="s">
        <v>1662</v>
      </c>
      <c r="I41" s="460" t="s">
        <v>1586</v>
      </c>
      <c r="J41" s="214"/>
      <c r="K41" s="460" t="s">
        <v>983</v>
      </c>
      <c r="L41" s="460" t="s">
        <v>1662</v>
      </c>
      <c r="M41" s="460" t="s">
        <v>1586</v>
      </c>
      <c r="N41"/>
      <c r="O41" s="148"/>
      <c r="P41"/>
      <c r="Q41" s="1423" t="s">
        <v>547</v>
      </c>
      <c r="R41" s="505"/>
      <c r="S41" s="432"/>
      <c r="T41" s="432"/>
      <c r="U41" s="432"/>
      <c r="V41" s="432"/>
      <c r="W41" s="432"/>
      <c r="X41" s="432"/>
      <c r="Y41" s="432"/>
      <c r="Z41" s="148"/>
      <c r="AA41" s="498" t="s">
        <v>110</v>
      </c>
      <c r="AB41" s="480"/>
      <c r="AC41" s="480"/>
      <c r="AD41" s="480"/>
      <c r="AE41" s="480"/>
      <c r="AF41" s="480"/>
      <c r="AG41" s="480"/>
      <c r="AH41" s="480"/>
      <c r="AI41" s="480"/>
      <c r="AN41" s="480"/>
      <c r="AO41" s="480"/>
      <c r="AP41" s="380"/>
      <c r="AQ41" s="380"/>
      <c r="AR41" s="380"/>
      <c r="AS41" s="480"/>
      <c r="AT41" s="498" t="s">
        <v>110</v>
      </c>
      <c r="AU41" s="480"/>
    </row>
    <row r="42" spans="1:57">
      <c r="A42" s="461" t="s">
        <v>513</v>
      </c>
      <c r="B42" s="523">
        <f t="shared" ref="B42:B53" si="13">G42*F$4+G17*F$5</f>
        <v>0.10857321377707187</v>
      </c>
      <c r="C42" s="523">
        <f t="shared" ref="C42:C53" si="14">H42*F$4+H17*F$5</f>
        <v>9.9253328198334489E-2</v>
      </c>
      <c r="D42" s="523">
        <f t="shared" ref="D42:D53" si="15">I42*F$4+I17*F$5</f>
        <v>9.1165606454063117E-2</v>
      </c>
      <c r="E42" s="42"/>
      <c r="F42" s="461" t="s">
        <v>513</v>
      </c>
      <c r="G42" s="523">
        <f>K42/K$60</f>
        <v>0.12205743786804678</v>
      </c>
      <c r="H42" s="523">
        <f>L42/L$60</f>
        <v>0.11232485493185786</v>
      </c>
      <c r="I42" s="523">
        <f>M42/M$60</f>
        <v>0.10426677891128447</v>
      </c>
      <c r="K42" s="435">
        <f>O42*(V42+T42+U42+AE42+AF42+AD42)</f>
        <v>2206.9890871986031</v>
      </c>
      <c r="L42" s="435">
        <f>O42*(W42+U42+V42+AF42+AG42+AE42)</f>
        <v>2207.8461703392622</v>
      </c>
      <c r="M42" s="435">
        <f>O42*(V42+W42+X42+AG42+AH42+AF42+Y42)</f>
        <v>2164.7782666571193</v>
      </c>
      <c r="N42"/>
      <c r="O42" s="920">
        <f>AD17</f>
        <v>1.4284719010994193</v>
      </c>
      <c r="P42" s="455"/>
      <c r="Q42" s="461" t="s">
        <v>513</v>
      </c>
      <c r="R42" s="508">
        <v>348</v>
      </c>
      <c r="S42" s="509">
        <v>435</v>
      </c>
      <c r="T42" s="509">
        <v>473</v>
      </c>
      <c r="U42" s="509">
        <f>'Degree data'!E7</f>
        <v>504</v>
      </c>
      <c r="V42" s="497">
        <f>'Degree data'!F7</f>
        <v>513</v>
      </c>
      <c r="W42" s="509">
        <f>'Degree data'!G7</f>
        <v>445</v>
      </c>
      <c r="X42" s="1713">
        <f>'Degree data'!H7</f>
        <v>471.58370025409954</v>
      </c>
      <c r="Y42" s="497">
        <f>3*'What If Data'!L25</f>
        <v>0</v>
      </c>
      <c r="Z42" s="148"/>
      <c r="AA42" s="461" t="s">
        <v>513</v>
      </c>
      <c r="AB42" s="435">
        <f t="shared" ref="AB42:AB53" si="16">AU42/5/5</f>
        <v>0</v>
      </c>
      <c r="AC42" s="435">
        <f>IF($AG$38="yes",0,AV42/5)</f>
        <v>0</v>
      </c>
      <c r="AD42" s="435">
        <f>IF($AG$38="yes",0,AW42/5)</f>
        <v>0</v>
      </c>
      <c r="AE42" s="435">
        <f>IF($AG$38="yes",SUM(AJ42,AO42)/5,AX42/5)</f>
        <v>25.8</v>
      </c>
      <c r="AF42" s="435">
        <f t="shared" ref="AF42:AH53" si="17">IF($AG$38="yes",SUM(AK42,AP42)/5,AY42/5)</f>
        <v>29.2</v>
      </c>
      <c r="AG42" s="435">
        <f t="shared" si="17"/>
        <v>28.6</v>
      </c>
      <c r="AH42" s="1636">
        <f>IF($AG$38="yes",SUM(AM42,AR42)/5,BA42/5)</f>
        <v>28.06666666666667</v>
      </c>
      <c r="AI42" s="435"/>
      <c r="AJ42" s="455">
        <v>129</v>
      </c>
      <c r="AK42" s="455">
        <v>142</v>
      </c>
      <c r="AL42" s="455">
        <v>141</v>
      </c>
      <c r="AM42" s="1206">
        <v>137.33333333333334</v>
      </c>
      <c r="AN42" s="435"/>
      <c r="AO42" s="435"/>
      <c r="AP42" s="455">
        <v>4</v>
      </c>
      <c r="AQ42" s="380">
        <v>2</v>
      </c>
      <c r="AR42" s="1692">
        <v>3</v>
      </c>
      <c r="AS42" s="435"/>
      <c r="AT42" s="461" t="s">
        <v>513</v>
      </c>
      <c r="AU42" s="435"/>
      <c r="AV42" s="455">
        <v>314</v>
      </c>
      <c r="AW42" s="455">
        <v>291</v>
      </c>
      <c r="AX42" s="455">
        <v>296</v>
      </c>
      <c r="AY42" s="455">
        <v>333</v>
      </c>
      <c r="AZ42" s="455">
        <v>331</v>
      </c>
      <c r="BA42" s="455">
        <v>308</v>
      </c>
      <c r="BB42" s="10"/>
      <c r="BC42" s="10"/>
      <c r="BD42" s="10"/>
      <c r="BE42" s="10"/>
    </row>
    <row r="43" spans="1:57">
      <c r="A43" s="461" t="s">
        <v>6</v>
      </c>
      <c r="B43" s="523">
        <f t="shared" si="13"/>
        <v>0.13642362488406629</v>
      </c>
      <c r="C43" s="523">
        <f t="shared" si="14"/>
        <v>0.14094266900968122</v>
      </c>
      <c r="D43" s="523">
        <f t="shared" si="15"/>
        <v>0.14632691659710836</v>
      </c>
      <c r="E43" s="42"/>
      <c r="F43" s="461" t="s">
        <v>6</v>
      </c>
      <c r="G43" s="523">
        <f t="shared" ref="G43:H53" si="18">K43/K$60</f>
        <v>0.12561210705002177</v>
      </c>
      <c r="H43" s="523">
        <f t="shared" si="18"/>
        <v>0.12957048239420577</v>
      </c>
      <c r="I43" s="523">
        <f t="shared" ref="I43:I53" si="19">M43/M$60</f>
        <v>0.13717096369513748</v>
      </c>
      <c r="K43" s="435">
        <f t="shared" ref="K43:K53" si="20">O43*(V43+T43+U43+AE43+AF43+AD43)</f>
        <v>2271.2630571446307</v>
      </c>
      <c r="L43" s="435">
        <f t="shared" ref="L43:L53" si="21">O43*(W43+U43+V43+AF43+AG43+AE43)</f>
        <v>2546.824507510863</v>
      </c>
      <c r="M43" s="435">
        <f t="shared" ref="M43:M53" si="22">O43*(V43+W43+X43+AG43+AH43+AF43+Y43)</f>
        <v>2847.9322380938056</v>
      </c>
      <c r="N43"/>
      <c r="O43" s="920">
        <f t="shared" ref="O43:O59" si="23">AD18</f>
        <v>1.0336138423339543</v>
      </c>
      <c r="P43"/>
      <c r="Q43" s="461" t="s">
        <v>6</v>
      </c>
      <c r="R43" s="508">
        <v>637</v>
      </c>
      <c r="S43" s="509">
        <v>770</v>
      </c>
      <c r="T43" s="509">
        <v>697</v>
      </c>
      <c r="U43" s="509">
        <f>'Degree data'!E8</f>
        <v>703</v>
      </c>
      <c r="V43" s="497">
        <f>'Degree data'!F8</f>
        <v>674</v>
      </c>
      <c r="W43" s="509">
        <f>'Degree data'!G8</f>
        <v>898</v>
      </c>
      <c r="X43" s="1713">
        <f>'Degree data'!H8</f>
        <v>996.1821640510916</v>
      </c>
      <c r="Y43" s="497">
        <f>3*'What If Data'!L26</f>
        <v>0</v>
      </c>
      <c r="Z43" s="148"/>
      <c r="AA43" s="461" t="s">
        <v>6</v>
      </c>
      <c r="AB43" s="435">
        <f t="shared" si="16"/>
        <v>0</v>
      </c>
      <c r="AC43" s="435">
        <f t="shared" ref="AC43:AD53" si="24">IF($AG$38="yes",0,AV43/5)</f>
        <v>0</v>
      </c>
      <c r="AD43" s="435">
        <f t="shared" si="24"/>
        <v>0</v>
      </c>
      <c r="AE43" s="435">
        <f t="shared" ref="AE43:AE53" si="25">IF($AG$38="yes",SUM(AJ43,AO43)/5,AX43/5)</f>
        <v>65.2</v>
      </c>
      <c r="AF43" s="435">
        <f t="shared" si="17"/>
        <v>58.2</v>
      </c>
      <c r="AG43" s="435">
        <f t="shared" si="17"/>
        <v>65.599999999999994</v>
      </c>
      <c r="AH43" s="1636">
        <f t="shared" si="17"/>
        <v>63.333333333333336</v>
      </c>
      <c r="AI43" s="435"/>
      <c r="AJ43" s="455">
        <v>326</v>
      </c>
      <c r="AK43" s="455">
        <v>291</v>
      </c>
      <c r="AL43" s="455">
        <v>327</v>
      </c>
      <c r="AM43" s="1206">
        <v>314.66666666666669</v>
      </c>
      <c r="AN43" s="435"/>
      <c r="AO43" s="435"/>
      <c r="AP43" s="455">
        <v>0</v>
      </c>
      <c r="AQ43" s="380">
        <v>1</v>
      </c>
      <c r="AR43" s="1692">
        <v>2</v>
      </c>
      <c r="AS43" s="435"/>
      <c r="AT43" s="461" t="s">
        <v>6</v>
      </c>
      <c r="AU43" s="435"/>
      <c r="AV43" s="455">
        <v>743</v>
      </c>
      <c r="AW43" s="455">
        <v>756</v>
      </c>
      <c r="AX43" s="455">
        <v>831</v>
      </c>
      <c r="AY43" s="455">
        <v>841</v>
      </c>
      <c r="AZ43" s="455">
        <v>808</v>
      </c>
      <c r="BA43" s="455">
        <v>674</v>
      </c>
    </row>
    <row r="44" spans="1:57">
      <c r="A44" s="461" t="s">
        <v>8</v>
      </c>
      <c r="B44" s="523">
        <f t="shared" si="13"/>
        <v>5.0470970884985908E-3</v>
      </c>
      <c r="C44" s="523">
        <f t="shared" si="14"/>
        <v>5.4987903816891203E-3</v>
      </c>
      <c r="D44" s="523">
        <f t="shared" si="15"/>
        <v>5.8716756288826541E-3</v>
      </c>
      <c r="E44" s="42"/>
      <c r="F44" s="461" t="s">
        <v>8</v>
      </c>
      <c r="G44" s="523">
        <f t="shared" si="18"/>
        <v>8.1391753034917077E-3</v>
      </c>
      <c r="H44" s="523">
        <f t="shared" si="18"/>
        <v>8.6859922874174666E-3</v>
      </c>
      <c r="I44" s="523">
        <f t="shared" si="19"/>
        <v>9.3684552500653811E-3</v>
      </c>
      <c r="K44" s="435">
        <f t="shared" si="20"/>
        <v>147.16900000000001</v>
      </c>
      <c r="L44" s="435">
        <f t="shared" si="21"/>
        <v>170.73099999999999</v>
      </c>
      <c r="M44" s="435">
        <f t="shared" si="22"/>
        <v>194.50709544549301</v>
      </c>
      <c r="N44"/>
      <c r="O44" s="920">
        <f t="shared" si="23"/>
        <v>0.93500000000000005</v>
      </c>
      <c r="P44"/>
      <c r="Q44" s="461" t="s">
        <v>8</v>
      </c>
      <c r="R44" s="508">
        <v>71</v>
      </c>
      <c r="S44" s="509">
        <v>68</v>
      </c>
      <c r="T44" s="509">
        <v>48</v>
      </c>
      <c r="U44" s="509">
        <f>'Degree data'!E9</f>
        <v>46</v>
      </c>
      <c r="V44" s="497">
        <f>'Degree data'!F9</f>
        <v>63</v>
      </c>
      <c r="W44" s="509">
        <f>'Degree data'!G9</f>
        <v>73</v>
      </c>
      <c r="X44" s="1713">
        <f>'Degree data'!H9</f>
        <v>71.228979086088771</v>
      </c>
      <c r="Y44" s="497">
        <f>3*'What If Data'!L27</f>
        <v>0</v>
      </c>
      <c r="Z44" s="148"/>
      <c r="AA44" s="461" t="s">
        <v>8</v>
      </c>
      <c r="AB44" s="435">
        <f t="shared" si="16"/>
        <v>0</v>
      </c>
      <c r="AC44" s="435">
        <f t="shared" si="24"/>
        <v>0</v>
      </c>
      <c r="AD44" s="435">
        <f t="shared" si="24"/>
        <v>0</v>
      </c>
      <c r="AE44" s="435">
        <f t="shared" si="25"/>
        <v>0</v>
      </c>
      <c r="AF44" s="435">
        <f t="shared" si="17"/>
        <v>0.4</v>
      </c>
      <c r="AG44" s="435">
        <f t="shared" si="17"/>
        <v>0.2</v>
      </c>
      <c r="AH44" s="1636">
        <f t="shared" si="17"/>
        <v>0.2</v>
      </c>
      <c r="AI44" s="435"/>
      <c r="AJ44">
        <v>0</v>
      </c>
      <c r="AK44">
        <v>2</v>
      </c>
      <c r="AL44">
        <v>1</v>
      </c>
      <c r="AM44" s="1206">
        <v>1</v>
      </c>
      <c r="AN44" s="435"/>
      <c r="AO44" s="435"/>
      <c r="AP44">
        <v>0</v>
      </c>
      <c r="AQ44" s="380">
        <v>0</v>
      </c>
      <c r="AR44" s="1692">
        <v>0</v>
      </c>
      <c r="AS44" s="435"/>
      <c r="AT44" s="461" t="s">
        <v>8</v>
      </c>
      <c r="AU44" s="435"/>
      <c r="AV44">
        <v>0</v>
      </c>
      <c r="AW44">
        <v>0</v>
      </c>
      <c r="AX44">
        <v>0</v>
      </c>
      <c r="AY44" s="455">
        <v>6</v>
      </c>
      <c r="AZ44" s="455">
        <v>39</v>
      </c>
      <c r="BA44" s="455">
        <v>55</v>
      </c>
    </row>
    <row r="45" spans="1:57" s="10" customFormat="1">
      <c r="A45" s="463" t="s">
        <v>2</v>
      </c>
      <c r="B45" s="524">
        <f t="shared" si="13"/>
        <v>3.0342131890185448E-2</v>
      </c>
      <c r="C45" s="524">
        <f t="shared" si="14"/>
        <v>2.9374980605027232E-2</v>
      </c>
      <c r="D45" s="524">
        <f t="shared" si="15"/>
        <v>2.9863840680768382E-2</v>
      </c>
      <c r="E45" s="42"/>
      <c r="F45" s="463" t="s">
        <v>2</v>
      </c>
      <c r="G45" s="524">
        <f t="shared" si="18"/>
        <v>3.3406627802202535E-2</v>
      </c>
      <c r="H45" s="524">
        <f t="shared" si="18"/>
        <v>3.1835203914078666E-2</v>
      </c>
      <c r="I45" s="524">
        <f t="shared" si="19"/>
        <v>3.2038128151512441E-2</v>
      </c>
      <c r="J45"/>
      <c r="K45" s="443">
        <f t="shared" si="20"/>
        <v>604.04399999999998</v>
      </c>
      <c r="L45" s="435">
        <f t="shared" si="21"/>
        <v>625.74959999999999</v>
      </c>
      <c r="M45" s="435">
        <f t="shared" si="22"/>
        <v>665.17297504491762</v>
      </c>
      <c r="N45"/>
      <c r="O45" s="920">
        <f t="shared" si="23"/>
        <v>1.4279999999999999</v>
      </c>
      <c r="P45"/>
      <c r="Q45" s="463" t="s">
        <v>2</v>
      </c>
      <c r="R45" s="508">
        <v>145</v>
      </c>
      <c r="S45" s="509">
        <v>146</v>
      </c>
      <c r="T45" s="509">
        <v>146</v>
      </c>
      <c r="U45" s="509">
        <f>'Degree data'!E10</f>
        <v>135</v>
      </c>
      <c r="V45" s="497">
        <f>'Degree data'!F10</f>
        <v>138</v>
      </c>
      <c r="W45" s="509">
        <f>'Degree data'!G10</f>
        <v>158</v>
      </c>
      <c r="X45" s="1713">
        <f>'Degree data'!H10</f>
        <v>161.94073882697313</v>
      </c>
      <c r="Y45" s="497">
        <f>3*'What If Data'!L28</f>
        <v>0</v>
      </c>
      <c r="Z45" s="148"/>
      <c r="AA45" s="463" t="s">
        <v>2</v>
      </c>
      <c r="AB45" s="435">
        <f t="shared" si="16"/>
        <v>0</v>
      </c>
      <c r="AC45" s="435">
        <f t="shared" si="24"/>
        <v>0</v>
      </c>
      <c r="AD45" s="435">
        <f t="shared" si="24"/>
        <v>0</v>
      </c>
      <c r="AE45" s="435">
        <f t="shared" si="25"/>
        <v>2</v>
      </c>
      <c r="AF45" s="435">
        <f t="shared" si="17"/>
        <v>2</v>
      </c>
      <c r="AG45" s="435">
        <f t="shared" si="17"/>
        <v>3.2</v>
      </c>
      <c r="AH45" s="1636">
        <f t="shared" si="17"/>
        <v>2.666666666666667</v>
      </c>
      <c r="AI45" s="435"/>
      <c r="AJ45" s="455">
        <v>10</v>
      </c>
      <c r="AK45" s="455">
        <v>9</v>
      </c>
      <c r="AL45" s="455">
        <v>12</v>
      </c>
      <c r="AM45" s="1206">
        <v>10.333333333333334</v>
      </c>
      <c r="AN45" s="435"/>
      <c r="AO45" s="435"/>
      <c r="AP45" s="455">
        <v>1</v>
      </c>
      <c r="AQ45">
        <v>4</v>
      </c>
      <c r="AR45" s="1692">
        <v>3</v>
      </c>
      <c r="AS45" s="435"/>
      <c r="AT45" s="463" t="s">
        <v>2</v>
      </c>
      <c r="AU45" s="435"/>
      <c r="AV45" s="455">
        <v>39</v>
      </c>
      <c r="AW45" s="455">
        <v>37</v>
      </c>
      <c r="AX45" s="455">
        <v>36</v>
      </c>
      <c r="AY45" s="455">
        <v>26</v>
      </c>
      <c r="AZ45" s="455">
        <v>31</v>
      </c>
      <c r="BA45" s="455">
        <v>21</v>
      </c>
    </row>
    <row r="46" spans="1:57">
      <c r="A46" s="461" t="s">
        <v>10</v>
      </c>
      <c r="B46" s="523">
        <f t="shared" si="13"/>
        <v>0</v>
      </c>
      <c r="C46" s="523">
        <f t="shared" si="14"/>
        <v>0</v>
      </c>
      <c r="D46" s="523">
        <f t="shared" si="15"/>
        <v>0</v>
      </c>
      <c r="E46" s="42"/>
      <c r="F46" s="461" t="s">
        <v>10</v>
      </c>
      <c r="G46" s="523">
        <f t="shared" si="18"/>
        <v>0</v>
      </c>
      <c r="H46" s="523">
        <f t="shared" si="18"/>
        <v>0</v>
      </c>
      <c r="I46" s="523">
        <f t="shared" si="19"/>
        <v>0</v>
      </c>
      <c r="K46" s="434">
        <f t="shared" si="20"/>
        <v>0</v>
      </c>
      <c r="L46" s="435">
        <f t="shared" si="21"/>
        <v>0</v>
      </c>
      <c r="M46" s="435">
        <f t="shared" si="22"/>
        <v>0</v>
      </c>
      <c r="N46"/>
      <c r="O46" s="920">
        <f t="shared" si="23"/>
        <v>0</v>
      </c>
      <c r="P46"/>
      <c r="Q46" s="461" t="s">
        <v>10</v>
      </c>
      <c r="R46" s="508">
        <v>0</v>
      </c>
      <c r="S46" s="509">
        <v>0</v>
      </c>
      <c r="T46" s="432">
        <v>0</v>
      </c>
      <c r="U46" s="432">
        <f>'Degree data'!E11</f>
        <v>0</v>
      </c>
      <c r="V46" s="497">
        <f>'Degree data'!F11</f>
        <v>0</v>
      </c>
      <c r="W46" s="509">
        <f>'Degree data'!G11</f>
        <v>0</v>
      </c>
      <c r="X46" s="1713">
        <f>'Degree data'!H11</f>
        <v>0</v>
      </c>
      <c r="Y46" s="497">
        <f>3*'What If Data'!L29</f>
        <v>0</v>
      </c>
      <c r="Z46" s="148"/>
      <c r="AA46" s="461" t="s">
        <v>10</v>
      </c>
      <c r="AB46" s="435">
        <f t="shared" si="16"/>
        <v>0</v>
      </c>
      <c r="AC46" s="435">
        <f t="shared" si="24"/>
        <v>0</v>
      </c>
      <c r="AD46" s="435">
        <f t="shared" si="24"/>
        <v>0</v>
      </c>
      <c r="AE46" s="435">
        <f t="shared" si="25"/>
        <v>0</v>
      </c>
      <c r="AF46" s="435">
        <f t="shared" si="17"/>
        <v>0</v>
      </c>
      <c r="AG46" s="435">
        <f t="shared" si="17"/>
        <v>0</v>
      </c>
      <c r="AH46" s="1636">
        <f t="shared" si="17"/>
        <v>0</v>
      </c>
      <c r="AI46" s="435"/>
      <c r="AJ46">
        <v>0</v>
      </c>
      <c r="AK46">
        <v>0</v>
      </c>
      <c r="AL46">
        <v>0</v>
      </c>
      <c r="AM46" s="1206">
        <v>0</v>
      </c>
      <c r="AN46" s="435"/>
      <c r="AO46" s="435"/>
      <c r="AP46">
        <v>0</v>
      </c>
      <c r="AQ46">
        <v>0</v>
      </c>
      <c r="AR46" s="1692">
        <v>0</v>
      </c>
      <c r="AS46" s="435"/>
      <c r="AT46" s="461" t="s">
        <v>10</v>
      </c>
      <c r="AU46" s="435"/>
      <c r="AV46">
        <v>0</v>
      </c>
      <c r="AW46">
        <v>0</v>
      </c>
      <c r="AX46">
        <v>0</v>
      </c>
      <c r="AY46">
        <v>0</v>
      </c>
      <c r="AZ46">
        <v>0</v>
      </c>
      <c r="BA46">
        <v>0</v>
      </c>
    </row>
    <row r="47" spans="1:57">
      <c r="A47" s="461" t="s">
        <v>4</v>
      </c>
      <c r="B47" s="523">
        <f t="shared" si="13"/>
        <v>0.12866061565617604</v>
      </c>
      <c r="C47" s="523">
        <f t="shared" si="14"/>
        <v>0.12778244027238816</v>
      </c>
      <c r="D47" s="523">
        <f t="shared" si="15"/>
        <v>0.1255655109553859</v>
      </c>
      <c r="E47" s="42"/>
      <c r="F47" s="461" t="s">
        <v>4</v>
      </c>
      <c r="G47" s="523">
        <f t="shared" si="18"/>
        <v>0.11619841626637283</v>
      </c>
      <c r="H47" s="523">
        <f t="shared" si="18"/>
        <v>0.11704373846469532</v>
      </c>
      <c r="I47" s="523">
        <f t="shared" si="19"/>
        <v>0.11289085778661553</v>
      </c>
      <c r="K47" s="435">
        <f t="shared" si="20"/>
        <v>2101.0488269210241</v>
      </c>
      <c r="L47" s="435">
        <f t="shared" si="21"/>
        <v>2300.6000754528959</v>
      </c>
      <c r="M47" s="435">
        <f t="shared" si="22"/>
        <v>2343.830681186374</v>
      </c>
      <c r="N47"/>
      <c r="O47" s="920">
        <f t="shared" si="23"/>
        <v>1.1521434672740865</v>
      </c>
      <c r="P47"/>
      <c r="Q47" s="461" t="s">
        <v>4</v>
      </c>
      <c r="R47" s="508">
        <v>451</v>
      </c>
      <c r="S47" s="509">
        <v>523</v>
      </c>
      <c r="T47" s="509">
        <v>534</v>
      </c>
      <c r="U47" s="509">
        <f>'Degree data'!E12</f>
        <v>563</v>
      </c>
      <c r="V47" s="497">
        <f>'Degree data'!F12</f>
        <v>560</v>
      </c>
      <c r="W47" s="509">
        <f>'Degree data'!G12</f>
        <v>612</v>
      </c>
      <c r="X47" s="1713">
        <f>'Degree data'!H12</f>
        <v>578.18856125828381</v>
      </c>
      <c r="Y47" s="497">
        <f>3*'What If Data'!L30</f>
        <v>0</v>
      </c>
      <c r="Z47" s="148"/>
      <c r="AA47" s="461" t="s">
        <v>4</v>
      </c>
      <c r="AB47" s="435">
        <f t="shared" si="16"/>
        <v>0</v>
      </c>
      <c r="AC47" s="435">
        <f t="shared" si="24"/>
        <v>0</v>
      </c>
      <c r="AD47" s="435">
        <f t="shared" si="24"/>
        <v>0</v>
      </c>
      <c r="AE47" s="435">
        <f t="shared" si="25"/>
        <v>80</v>
      </c>
      <c r="AF47" s="435">
        <f t="shared" si="17"/>
        <v>86.6</v>
      </c>
      <c r="AG47" s="435">
        <f t="shared" si="17"/>
        <v>95.2</v>
      </c>
      <c r="AH47" s="1636">
        <f t="shared" si="17"/>
        <v>102.33333333333334</v>
      </c>
      <c r="AI47" s="435"/>
      <c r="AJ47" s="455">
        <v>400</v>
      </c>
      <c r="AK47" s="455">
        <v>432</v>
      </c>
      <c r="AL47" s="455">
        <v>475</v>
      </c>
      <c r="AM47" s="1208">
        <v>510.66666666666674</v>
      </c>
      <c r="AN47" s="435"/>
      <c r="AO47" s="435"/>
      <c r="AP47" s="455">
        <v>1</v>
      </c>
      <c r="AQ47">
        <v>1</v>
      </c>
      <c r="AR47" s="1692">
        <v>1</v>
      </c>
      <c r="AS47" s="435"/>
      <c r="AT47" s="461" t="s">
        <v>4</v>
      </c>
      <c r="AU47" s="435"/>
      <c r="AV47" s="455">
        <v>838</v>
      </c>
      <c r="AW47" s="455">
        <v>871</v>
      </c>
      <c r="AX47" s="455">
        <v>833</v>
      </c>
      <c r="AY47" s="455">
        <v>931</v>
      </c>
      <c r="AZ47" s="455">
        <v>1059</v>
      </c>
      <c r="BA47" s="455">
        <v>1075</v>
      </c>
    </row>
    <row r="48" spans="1:57" s="10" customFormat="1">
      <c r="A48" s="461" t="s">
        <v>14</v>
      </c>
      <c r="B48" s="523">
        <f t="shared" si="13"/>
        <v>0</v>
      </c>
      <c r="C48" s="523">
        <f t="shared" si="14"/>
        <v>0</v>
      </c>
      <c r="D48" s="523">
        <f t="shared" si="15"/>
        <v>0</v>
      </c>
      <c r="E48" s="42"/>
      <c r="F48" s="461" t="s">
        <v>14</v>
      </c>
      <c r="G48" s="523">
        <f t="shared" si="18"/>
        <v>0</v>
      </c>
      <c r="H48" s="523">
        <f t="shared" si="18"/>
        <v>0</v>
      </c>
      <c r="I48" s="523">
        <f t="shared" si="19"/>
        <v>0</v>
      </c>
      <c r="J48"/>
      <c r="K48" s="434">
        <f t="shared" si="20"/>
        <v>0</v>
      </c>
      <c r="L48" s="435">
        <f t="shared" si="21"/>
        <v>0</v>
      </c>
      <c r="M48" s="435">
        <f t="shared" si="22"/>
        <v>0</v>
      </c>
      <c r="N48"/>
      <c r="O48" s="920">
        <f t="shared" si="23"/>
        <v>0</v>
      </c>
      <c r="P48"/>
      <c r="Q48" s="461" t="s">
        <v>14</v>
      </c>
      <c r="R48" s="508">
        <v>0</v>
      </c>
      <c r="S48" s="509">
        <v>0</v>
      </c>
      <c r="T48" s="432">
        <v>0</v>
      </c>
      <c r="U48" s="432">
        <f>'Degree data'!E13</f>
        <v>0</v>
      </c>
      <c r="V48" s="497">
        <f>'Degree data'!F13</f>
        <v>0</v>
      </c>
      <c r="W48" s="509">
        <f>'Degree data'!G13</f>
        <v>0</v>
      </c>
      <c r="X48" s="1713">
        <f>'Degree data'!H13</f>
        <v>0</v>
      </c>
      <c r="Y48" s="497">
        <f>3*'What If Data'!L31</f>
        <v>0</v>
      </c>
      <c r="Z48" s="148"/>
      <c r="AA48" s="461" t="s">
        <v>14</v>
      </c>
      <c r="AB48" s="435">
        <f t="shared" si="16"/>
        <v>0</v>
      </c>
      <c r="AC48" s="435">
        <f t="shared" si="24"/>
        <v>0</v>
      </c>
      <c r="AD48" s="435">
        <f t="shared" si="24"/>
        <v>0</v>
      </c>
      <c r="AE48" s="435">
        <f t="shared" si="25"/>
        <v>6</v>
      </c>
      <c r="AF48" s="435">
        <f t="shared" si="17"/>
        <v>5.6</v>
      </c>
      <c r="AG48" s="435">
        <f t="shared" si="17"/>
        <v>5</v>
      </c>
      <c r="AH48" s="1636">
        <f t="shared" si="17"/>
        <v>5.6666666666666661</v>
      </c>
      <c r="AI48" s="435"/>
      <c r="AJ48">
        <v>30</v>
      </c>
      <c r="AK48">
        <v>28</v>
      </c>
      <c r="AL48">
        <v>24</v>
      </c>
      <c r="AM48" s="1206">
        <v>27.333333333333332</v>
      </c>
      <c r="AN48" s="435"/>
      <c r="AO48" s="435"/>
      <c r="AP48" s="455">
        <v>0</v>
      </c>
      <c r="AQ48">
        <v>1</v>
      </c>
      <c r="AR48" s="1692">
        <v>1</v>
      </c>
      <c r="AS48" s="435"/>
      <c r="AT48" s="461" t="s">
        <v>14</v>
      </c>
      <c r="AU48" s="435"/>
      <c r="AV48">
        <v>0</v>
      </c>
      <c r="AW48">
        <v>0</v>
      </c>
      <c r="AX48">
        <v>0</v>
      </c>
      <c r="AY48">
        <v>0</v>
      </c>
      <c r="AZ48">
        <v>0</v>
      </c>
      <c r="BA48">
        <v>0</v>
      </c>
      <c r="BB48"/>
      <c r="BC48"/>
      <c r="BD48"/>
      <c r="BE48"/>
    </row>
    <row r="49" spans="1:53">
      <c r="A49" s="463" t="s">
        <v>17</v>
      </c>
      <c r="B49" s="524">
        <f t="shared" si="13"/>
        <v>0.14806831186363156</v>
      </c>
      <c r="C49" s="524">
        <f t="shared" si="14"/>
        <v>0.14496229224684942</v>
      </c>
      <c r="D49" s="524">
        <f t="shared" si="15"/>
        <v>0.14351261964512421</v>
      </c>
      <c r="E49" s="42"/>
      <c r="F49" s="463" t="s">
        <v>17</v>
      </c>
      <c r="G49" s="524">
        <f t="shared" si="18"/>
        <v>0.1589030785711513</v>
      </c>
      <c r="H49" s="524">
        <f t="shared" si="18"/>
        <v>0.15775507599102107</v>
      </c>
      <c r="I49" s="524">
        <f t="shared" si="19"/>
        <v>0.15615673295010815</v>
      </c>
      <c r="K49" s="443">
        <f t="shared" si="20"/>
        <v>2873.2158109686293</v>
      </c>
      <c r="L49" s="435">
        <f t="shared" si="21"/>
        <v>3100.8180744115052</v>
      </c>
      <c r="M49" s="435">
        <f t="shared" si="22"/>
        <v>3242.1132139336501</v>
      </c>
      <c r="N49"/>
      <c r="O49" s="920">
        <f t="shared" si="23"/>
        <v>0.95550908246379429</v>
      </c>
      <c r="P49"/>
      <c r="Q49" s="463" t="s">
        <v>17</v>
      </c>
      <c r="R49" s="508">
        <v>823</v>
      </c>
      <c r="S49" s="509">
        <v>880</v>
      </c>
      <c r="T49" s="509">
        <v>898</v>
      </c>
      <c r="U49" s="509">
        <f>'Degree data'!E14</f>
        <v>916</v>
      </c>
      <c r="V49" s="497">
        <f>'Degree data'!F14</f>
        <v>988</v>
      </c>
      <c r="W49" s="509">
        <f>'Degree data'!G14</f>
        <v>1014</v>
      </c>
      <c r="X49" s="1713">
        <f>'Degree data'!H14</f>
        <v>1032.4075316170522</v>
      </c>
      <c r="Y49" s="497">
        <f>3*'What If Data'!L32</f>
        <v>0</v>
      </c>
      <c r="Z49" s="148"/>
      <c r="AA49" s="463" t="s">
        <v>17</v>
      </c>
      <c r="AB49" s="435">
        <f t="shared" si="16"/>
        <v>0</v>
      </c>
      <c r="AC49" s="435">
        <f t="shared" si="24"/>
        <v>0</v>
      </c>
      <c r="AD49" s="435">
        <f t="shared" si="24"/>
        <v>0</v>
      </c>
      <c r="AE49" s="435">
        <f t="shared" si="25"/>
        <v>98</v>
      </c>
      <c r="AF49" s="435">
        <f t="shared" si="17"/>
        <v>107</v>
      </c>
      <c r="AG49" s="435">
        <f t="shared" si="17"/>
        <v>122.2</v>
      </c>
      <c r="AH49" s="1636">
        <f t="shared" si="17"/>
        <v>129.46666666666667</v>
      </c>
      <c r="AI49" s="435"/>
      <c r="AJ49" s="455">
        <v>490</v>
      </c>
      <c r="AK49" s="455">
        <v>500</v>
      </c>
      <c r="AL49" s="455">
        <v>568</v>
      </c>
      <c r="AM49" s="1208">
        <v>597.33333333333337</v>
      </c>
      <c r="AN49" s="435"/>
      <c r="AO49" s="435"/>
      <c r="AP49" s="455">
        <v>35</v>
      </c>
      <c r="AQ49">
        <v>43</v>
      </c>
      <c r="AR49" s="1692">
        <v>50</v>
      </c>
      <c r="AS49" s="435"/>
      <c r="AT49" s="463" t="s">
        <v>17</v>
      </c>
      <c r="AU49" s="435"/>
      <c r="AV49" s="455">
        <v>1332</v>
      </c>
      <c r="AW49" s="455">
        <v>1397</v>
      </c>
      <c r="AX49" s="455">
        <v>1290</v>
      </c>
      <c r="AY49" s="455">
        <v>1441</v>
      </c>
      <c r="AZ49" s="455">
        <v>1529</v>
      </c>
      <c r="BA49" s="455">
        <v>1541</v>
      </c>
    </row>
    <row r="50" spans="1:53">
      <c r="A50" s="461" t="s">
        <v>316</v>
      </c>
      <c r="B50" s="523">
        <f t="shared" si="13"/>
        <v>0</v>
      </c>
      <c r="C50" s="523">
        <f t="shared" si="14"/>
        <v>0</v>
      </c>
      <c r="D50" s="523">
        <f t="shared" si="15"/>
        <v>0</v>
      </c>
      <c r="E50" s="42"/>
      <c r="F50" s="461" t="s">
        <v>316</v>
      </c>
      <c r="G50" s="523">
        <f t="shared" si="18"/>
        <v>0</v>
      </c>
      <c r="H50" s="523">
        <f t="shared" si="18"/>
        <v>0</v>
      </c>
      <c r="I50" s="523">
        <f t="shared" si="19"/>
        <v>0</v>
      </c>
      <c r="K50" s="434">
        <f t="shared" si="20"/>
        <v>0</v>
      </c>
      <c r="L50" s="435">
        <f t="shared" si="21"/>
        <v>0</v>
      </c>
      <c r="M50" s="435">
        <f t="shared" si="22"/>
        <v>0</v>
      </c>
      <c r="N50"/>
      <c r="O50" s="920">
        <f t="shared" si="23"/>
        <v>0</v>
      </c>
      <c r="P50"/>
      <c r="Q50" s="461" t="s">
        <v>316</v>
      </c>
      <c r="R50" s="508">
        <v>0</v>
      </c>
      <c r="S50" s="509">
        <v>0</v>
      </c>
      <c r="T50" s="432">
        <v>0</v>
      </c>
      <c r="U50" s="432">
        <f>'Degree data'!E15</f>
        <v>0</v>
      </c>
      <c r="V50" s="497">
        <f>'Degree data'!F15</f>
        <v>0</v>
      </c>
      <c r="W50" s="509">
        <f>'Degree data'!G15</f>
        <v>0</v>
      </c>
      <c r="X50" s="1713">
        <f>'Degree data'!H15</f>
        <v>0</v>
      </c>
      <c r="Y50" s="497">
        <f>3*'What If Data'!L33</f>
        <v>0</v>
      </c>
      <c r="Z50" s="148"/>
      <c r="AA50" s="461" t="s">
        <v>316</v>
      </c>
      <c r="AB50" s="435">
        <f t="shared" si="16"/>
        <v>0</v>
      </c>
      <c r="AC50" s="435">
        <f t="shared" si="24"/>
        <v>0</v>
      </c>
      <c r="AD50" s="435">
        <f t="shared" si="24"/>
        <v>0</v>
      </c>
      <c r="AE50" s="435">
        <f t="shared" si="25"/>
        <v>0</v>
      </c>
      <c r="AF50" s="435">
        <f t="shared" si="17"/>
        <v>0</v>
      </c>
      <c r="AG50" s="435">
        <f t="shared" si="17"/>
        <v>0</v>
      </c>
      <c r="AH50" s="1636">
        <f t="shared" si="17"/>
        <v>0</v>
      </c>
      <c r="AI50" s="435"/>
      <c r="AJ50">
        <v>0</v>
      </c>
      <c r="AK50">
        <v>0</v>
      </c>
      <c r="AL50">
        <v>0</v>
      </c>
      <c r="AM50" s="1206">
        <v>0</v>
      </c>
      <c r="AN50" s="435"/>
      <c r="AO50" s="435"/>
      <c r="AP50">
        <v>0</v>
      </c>
      <c r="AQ50">
        <v>0</v>
      </c>
      <c r="AR50" s="1692">
        <v>0</v>
      </c>
      <c r="AS50" s="435"/>
      <c r="AT50" s="461" t="s">
        <v>316</v>
      </c>
      <c r="AU50" s="434"/>
      <c r="AV50">
        <v>0</v>
      </c>
      <c r="AW50">
        <v>0</v>
      </c>
      <c r="AX50">
        <v>0</v>
      </c>
      <c r="AY50">
        <v>0</v>
      </c>
      <c r="AZ50">
        <v>0</v>
      </c>
      <c r="BA50">
        <v>0</v>
      </c>
    </row>
    <row r="51" spans="1:53">
      <c r="A51" s="461" t="s">
        <v>7</v>
      </c>
      <c r="B51" s="523">
        <f t="shared" si="13"/>
        <v>0.28646409516146965</v>
      </c>
      <c r="C51" s="523">
        <f t="shared" si="14"/>
        <v>0.30733498321817443</v>
      </c>
      <c r="D51" s="523">
        <f t="shared" si="15"/>
        <v>0.3259071950812179</v>
      </c>
      <c r="E51" s="42"/>
      <c r="F51" s="461" t="s">
        <v>7</v>
      </c>
      <c r="G51" s="523">
        <f t="shared" si="18"/>
        <v>0.25121315716840165</v>
      </c>
      <c r="H51" s="523">
        <f t="shared" si="18"/>
        <v>0.27100484338623493</v>
      </c>
      <c r="I51" s="523">
        <f t="shared" si="19"/>
        <v>0.29019222874572287</v>
      </c>
      <c r="K51" s="435">
        <f t="shared" si="20"/>
        <v>4542.3261876981596</v>
      </c>
      <c r="L51" s="435">
        <f t="shared" si="21"/>
        <v>5326.8442320862378</v>
      </c>
      <c r="M51" s="435">
        <f t="shared" si="22"/>
        <v>6024.9471260260052</v>
      </c>
      <c r="N51"/>
      <c r="O51" s="920">
        <f t="shared" si="23"/>
        <v>1.3870545339251739</v>
      </c>
      <c r="P51"/>
      <c r="Q51" s="461" t="s">
        <v>7</v>
      </c>
      <c r="R51" s="508">
        <v>668</v>
      </c>
      <c r="S51" s="509">
        <v>822</v>
      </c>
      <c r="T51" s="509">
        <v>907</v>
      </c>
      <c r="U51" s="509">
        <f>'Degree data'!E16</f>
        <v>1031</v>
      </c>
      <c r="V51" s="497">
        <f>'Degree data'!F16</f>
        <v>1310</v>
      </c>
      <c r="W51" s="509">
        <f>'Degree data'!G16</f>
        <v>1452</v>
      </c>
      <c r="X51" s="1713">
        <f>'Degree data'!H16</f>
        <v>1519.4988082770126</v>
      </c>
      <c r="Y51" s="497">
        <f>3*'What If Data'!L34</f>
        <v>0</v>
      </c>
      <c r="Z51" s="148"/>
      <c r="AA51" s="461" t="s">
        <v>7</v>
      </c>
      <c r="AB51" s="435">
        <f t="shared" si="16"/>
        <v>0</v>
      </c>
      <c r="AC51" s="435">
        <f t="shared" si="24"/>
        <v>0</v>
      </c>
      <c r="AD51" s="435">
        <f t="shared" si="24"/>
        <v>0</v>
      </c>
      <c r="AE51" s="435">
        <f t="shared" si="25"/>
        <v>10.8</v>
      </c>
      <c r="AF51" s="435">
        <f t="shared" si="17"/>
        <v>16</v>
      </c>
      <c r="AG51" s="435">
        <f t="shared" si="17"/>
        <v>20.6</v>
      </c>
      <c r="AH51" s="1636">
        <f t="shared" si="17"/>
        <v>25.6</v>
      </c>
      <c r="AI51" s="435"/>
      <c r="AJ51" s="455">
        <v>54</v>
      </c>
      <c r="AK51" s="455">
        <v>80</v>
      </c>
      <c r="AL51" s="455">
        <v>103</v>
      </c>
      <c r="AM51" s="1208">
        <v>128</v>
      </c>
      <c r="AN51" s="435"/>
      <c r="AO51" s="435"/>
      <c r="AP51">
        <v>0</v>
      </c>
      <c r="AQ51">
        <v>0</v>
      </c>
      <c r="AR51" s="1692">
        <v>0</v>
      </c>
      <c r="AS51" s="435"/>
      <c r="AT51" s="461" t="s">
        <v>7</v>
      </c>
      <c r="AU51" s="435"/>
      <c r="AV51" s="455">
        <v>36</v>
      </c>
      <c r="AW51" s="455">
        <v>78</v>
      </c>
      <c r="AX51" s="455">
        <v>83</v>
      </c>
      <c r="AY51" s="455">
        <v>76</v>
      </c>
      <c r="AZ51" s="455">
        <v>176</v>
      </c>
      <c r="BA51" s="455">
        <v>250</v>
      </c>
    </row>
    <row r="52" spans="1:53">
      <c r="A52" s="461" t="s">
        <v>9</v>
      </c>
      <c r="B52" s="523">
        <f t="shared" si="13"/>
        <v>0.11753549675278294</v>
      </c>
      <c r="C52" s="523">
        <f t="shared" si="14"/>
        <v>0.10804029340244695</v>
      </c>
      <c r="D52" s="523">
        <f t="shared" si="15"/>
        <v>9.5349940377193909E-2</v>
      </c>
      <c r="E52" s="42"/>
      <c r="F52" s="461" t="s">
        <v>9</v>
      </c>
      <c r="G52" s="523">
        <f t="shared" si="18"/>
        <v>0.12735413005977611</v>
      </c>
      <c r="H52" s="523">
        <f t="shared" si="18"/>
        <v>0.11828613851897181</v>
      </c>
      <c r="I52" s="523">
        <f t="shared" si="19"/>
        <v>0.10614171343494838</v>
      </c>
      <c r="K52" s="435">
        <f t="shared" si="20"/>
        <v>2302.7615535847494</v>
      </c>
      <c r="L52" s="435">
        <f t="shared" si="21"/>
        <v>2325.020567280174</v>
      </c>
      <c r="M52" s="435">
        <f t="shared" si="22"/>
        <v>2203.7055026436287</v>
      </c>
      <c r="N52"/>
      <c r="O52" s="920">
        <f t="shared" si="23"/>
        <v>0.95123990151385873</v>
      </c>
      <c r="P52"/>
      <c r="Q52" s="461" t="s">
        <v>9</v>
      </c>
      <c r="R52" s="508">
        <v>690</v>
      </c>
      <c r="S52" s="509">
        <v>729</v>
      </c>
      <c r="T52" s="509">
        <v>739</v>
      </c>
      <c r="U52" s="509">
        <f>'Degree data'!E17</f>
        <v>826</v>
      </c>
      <c r="V52" s="497">
        <f>'Degree data'!F17</f>
        <v>823</v>
      </c>
      <c r="W52" s="509">
        <f>'Degree data'!G17</f>
        <v>746</v>
      </c>
      <c r="X52" s="1713">
        <f>'Degree data'!H17</f>
        <v>698.59971700429071</v>
      </c>
      <c r="Y52" s="497">
        <f>3*'What If Data'!L35</f>
        <v>0</v>
      </c>
      <c r="Z52" s="148"/>
      <c r="AA52" s="461" t="s">
        <v>9</v>
      </c>
      <c r="AB52" s="435">
        <f t="shared" si="16"/>
        <v>0</v>
      </c>
      <c r="AC52" s="435">
        <f t="shared" si="24"/>
        <v>0</v>
      </c>
      <c r="AD52" s="435">
        <f t="shared" si="24"/>
        <v>0</v>
      </c>
      <c r="AE52" s="435">
        <f t="shared" si="25"/>
        <v>16.8</v>
      </c>
      <c r="AF52" s="435">
        <f t="shared" si="17"/>
        <v>16</v>
      </c>
      <c r="AG52" s="435">
        <f t="shared" si="17"/>
        <v>16.399999999999999</v>
      </c>
      <c r="AH52" s="1636">
        <f t="shared" si="17"/>
        <v>16.666666666666664</v>
      </c>
      <c r="AI52" s="435"/>
      <c r="AJ52" s="455">
        <v>84</v>
      </c>
      <c r="AK52" s="455">
        <v>74</v>
      </c>
      <c r="AL52" s="455">
        <v>77</v>
      </c>
      <c r="AM52" s="1206">
        <v>78.333333333333329</v>
      </c>
      <c r="AN52" s="435"/>
      <c r="AO52" s="435"/>
      <c r="AP52" s="455">
        <v>6</v>
      </c>
      <c r="AQ52">
        <v>5</v>
      </c>
      <c r="AR52" s="1692">
        <v>5</v>
      </c>
      <c r="AS52" s="435"/>
      <c r="AT52" s="461" t="s">
        <v>9</v>
      </c>
      <c r="AU52" s="435"/>
      <c r="AV52" s="455">
        <v>139</v>
      </c>
      <c r="AW52" s="455">
        <v>159</v>
      </c>
      <c r="AX52" s="455">
        <v>180</v>
      </c>
      <c r="AY52" s="455">
        <v>194</v>
      </c>
      <c r="AZ52" s="455">
        <v>197</v>
      </c>
      <c r="BA52" s="455">
        <v>175</v>
      </c>
    </row>
    <row r="53" spans="1:53">
      <c r="A53" s="463" t="s">
        <v>5</v>
      </c>
      <c r="B53" s="524">
        <f t="shared" si="13"/>
        <v>2.2038161491548216E-2</v>
      </c>
      <c r="C53" s="524">
        <f t="shared" si="14"/>
        <v>2.1153561730816985E-2</v>
      </c>
      <c r="D53" s="524">
        <f t="shared" si="15"/>
        <v>2.1509994080384766E-2</v>
      </c>
      <c r="E53" s="42"/>
      <c r="F53" s="463" t="s">
        <v>5</v>
      </c>
      <c r="G53" s="524">
        <f t="shared" si="18"/>
        <v>2.7913967423948492E-2</v>
      </c>
      <c r="H53" s="524">
        <f t="shared" si="18"/>
        <v>2.6355457824891043E-2</v>
      </c>
      <c r="I53" s="524">
        <f t="shared" si="19"/>
        <v>2.5901193541495841E-2</v>
      </c>
      <c r="K53" s="443">
        <f t="shared" si="20"/>
        <v>504.72812276849629</v>
      </c>
      <c r="L53" s="435">
        <f t="shared" si="21"/>
        <v>518.04025619729498</v>
      </c>
      <c r="M53" s="435">
        <f t="shared" si="22"/>
        <v>537.75844467984825</v>
      </c>
      <c r="N53"/>
      <c r="O53" s="920">
        <f t="shared" si="23"/>
        <v>1.4161844073190133</v>
      </c>
      <c r="P53"/>
      <c r="Q53" s="463" t="s">
        <v>5</v>
      </c>
      <c r="R53" s="508">
        <v>133</v>
      </c>
      <c r="S53" s="509">
        <v>115</v>
      </c>
      <c r="T53" s="509">
        <v>111</v>
      </c>
      <c r="U53" s="509">
        <f>'Degree data'!E18</f>
        <v>119</v>
      </c>
      <c r="V53" s="497">
        <f>'Degree data'!F18</f>
        <v>108</v>
      </c>
      <c r="W53" s="509">
        <f>'Degree data'!G18</f>
        <v>105</v>
      </c>
      <c r="X53" s="1713">
        <f>'Degree data'!H18</f>
        <v>120.45679441696566</v>
      </c>
      <c r="Y53" s="497">
        <f>3*'What If Data'!L36</f>
        <v>0</v>
      </c>
      <c r="Z53" s="148"/>
      <c r="AA53" s="463" t="s">
        <v>5</v>
      </c>
      <c r="AB53" s="435">
        <f t="shared" si="16"/>
        <v>0</v>
      </c>
      <c r="AC53" s="435">
        <f t="shared" si="24"/>
        <v>0</v>
      </c>
      <c r="AD53" s="435">
        <f t="shared" si="24"/>
        <v>0</v>
      </c>
      <c r="AE53" s="435">
        <f t="shared" si="25"/>
        <v>5.4</v>
      </c>
      <c r="AF53" s="435">
        <f t="shared" si="17"/>
        <v>13</v>
      </c>
      <c r="AG53" s="435">
        <f t="shared" si="17"/>
        <v>15.4</v>
      </c>
      <c r="AH53" s="1636">
        <f t="shared" si="17"/>
        <v>17.866666666666667</v>
      </c>
      <c r="AI53" s="435"/>
      <c r="AJ53" s="455">
        <v>27</v>
      </c>
      <c r="AK53" s="455">
        <v>32</v>
      </c>
      <c r="AL53" s="455">
        <v>44</v>
      </c>
      <c r="AM53" s="1208">
        <v>51.333333333333329</v>
      </c>
      <c r="AN53" s="435"/>
      <c r="AO53" s="435"/>
      <c r="AP53" s="455">
        <v>33</v>
      </c>
      <c r="AQ53">
        <v>33</v>
      </c>
      <c r="AR53" s="1692">
        <v>38</v>
      </c>
      <c r="AS53" s="435"/>
      <c r="AT53" s="463" t="s">
        <v>5</v>
      </c>
      <c r="AU53" s="435"/>
      <c r="AV53" s="455">
        <v>37</v>
      </c>
      <c r="AW53" s="455">
        <v>50</v>
      </c>
      <c r="AX53" s="455">
        <v>61</v>
      </c>
      <c r="AY53" s="455">
        <v>56</v>
      </c>
      <c r="AZ53" s="455">
        <v>49</v>
      </c>
      <c r="BA53" s="455">
        <v>47</v>
      </c>
    </row>
    <row r="54" spans="1:53">
      <c r="A54" s="461"/>
      <c r="B54" s="523"/>
      <c r="C54" s="523"/>
      <c r="D54" s="523"/>
      <c r="E54" s="42"/>
      <c r="F54" s="441"/>
      <c r="G54" s="523"/>
      <c r="H54" s="523"/>
      <c r="I54" s="523"/>
      <c r="J54" s="42"/>
      <c r="K54" s="434"/>
      <c r="L54" s="516"/>
      <c r="M54" s="435"/>
      <c r="N54"/>
      <c r="O54" s="920"/>
      <c r="P54"/>
      <c r="Q54" s="461"/>
      <c r="R54" s="505"/>
      <c r="S54" s="432"/>
      <c r="T54" s="432"/>
      <c r="U54" s="432"/>
      <c r="V54" s="148"/>
      <c r="W54" s="432"/>
      <c r="X54" s="1713"/>
      <c r="Y54" s="148"/>
      <c r="Z54" s="148"/>
      <c r="AA54" s="461"/>
      <c r="AB54" s="434"/>
      <c r="AC54" s="434"/>
      <c r="AD54" s="434"/>
      <c r="AE54" s="449"/>
      <c r="AF54" s="449"/>
      <c r="AG54" s="449"/>
      <c r="AH54" s="1717"/>
      <c r="AI54" s="449"/>
      <c r="AN54" s="449"/>
      <c r="AO54" s="449"/>
      <c r="AS54" s="449"/>
      <c r="AT54" s="461"/>
      <c r="AU54" s="434"/>
    </row>
    <row r="55" spans="1:53">
      <c r="A55" s="461" t="s">
        <v>516</v>
      </c>
      <c r="B55" s="523">
        <f>G55*F$4+G30*F$5</f>
        <v>0</v>
      </c>
      <c r="C55" s="523">
        <f>H55*F$4+H30*F$5</f>
        <v>0</v>
      </c>
      <c r="D55" s="523">
        <f>I55*F$4+I30*F$5</f>
        <v>0</v>
      </c>
      <c r="E55" s="42"/>
      <c r="F55" s="461" t="s">
        <v>516</v>
      </c>
      <c r="G55" s="523">
        <f t="shared" ref="G55:H59" si="26">K55/K$60</f>
        <v>0</v>
      </c>
      <c r="H55" s="523">
        <f t="shared" si="26"/>
        <v>0</v>
      </c>
      <c r="I55" s="523">
        <f>M55/M$60</f>
        <v>0</v>
      </c>
      <c r="K55" s="434">
        <f>O55*(V55+T55+U55+AE55+AF55+AD55)</f>
        <v>0</v>
      </c>
      <c r="L55" s="435">
        <f>O55*(W55+U55+V55+AF55+AG55+AE55)</f>
        <v>0</v>
      </c>
      <c r="M55" s="435">
        <f>O55*(V55+W55+X55+AG55+AH55+AF55+Y55)</f>
        <v>0</v>
      </c>
      <c r="N55"/>
      <c r="O55" s="920">
        <f t="shared" si="23"/>
        <v>0</v>
      </c>
      <c r="P55"/>
      <c r="Q55" s="461" t="s">
        <v>516</v>
      </c>
      <c r="R55" s="505"/>
      <c r="S55" s="432"/>
      <c r="T55" s="432"/>
      <c r="U55" s="432"/>
      <c r="V55" s="148"/>
      <c r="W55" s="1524"/>
      <c r="X55" s="1713"/>
      <c r="Y55" s="148"/>
      <c r="Z55" s="148"/>
      <c r="AA55" s="461" t="s">
        <v>516</v>
      </c>
      <c r="AB55" s="434"/>
      <c r="AC55" s="434"/>
      <c r="AD55" s="434"/>
      <c r="AE55" s="449"/>
      <c r="AF55" s="449"/>
      <c r="AG55" s="449"/>
      <c r="AH55" s="1717"/>
      <c r="AI55" s="449"/>
      <c r="AJ55" s="455">
        <v>17</v>
      </c>
      <c r="AK55" s="455">
        <v>17</v>
      </c>
      <c r="AL55" s="455">
        <v>18</v>
      </c>
      <c r="AM55" s="1206">
        <v>17.333333333333332</v>
      </c>
      <c r="AN55" s="449"/>
      <c r="AO55" s="449"/>
      <c r="AS55" s="449"/>
      <c r="AT55" s="461" t="s">
        <v>516</v>
      </c>
      <c r="AU55" s="434"/>
      <c r="AV55" s="455">
        <v>23</v>
      </c>
      <c r="AW55" s="455">
        <v>26</v>
      </c>
      <c r="AX55" s="455">
        <v>22</v>
      </c>
      <c r="AY55" s="455">
        <v>18</v>
      </c>
      <c r="AZ55" s="455">
        <v>77</v>
      </c>
      <c r="BA55" s="455">
        <v>57</v>
      </c>
    </row>
    <row r="56" spans="1:53">
      <c r="A56" s="461" t="s">
        <v>537</v>
      </c>
      <c r="B56" s="523">
        <f>G56*F$4+G31*F$5</f>
        <v>0</v>
      </c>
      <c r="C56" s="523">
        <f>H56*F$4+H31*F$5</f>
        <v>0</v>
      </c>
      <c r="D56" s="523">
        <f>I56*F$4+I31*F$5</f>
        <v>0</v>
      </c>
      <c r="E56" s="42"/>
      <c r="F56" s="461" t="s">
        <v>537</v>
      </c>
      <c r="G56" s="523">
        <f t="shared" si="26"/>
        <v>0</v>
      </c>
      <c r="H56" s="523">
        <f t="shared" si="26"/>
        <v>0</v>
      </c>
      <c r="I56" s="523">
        <f>M56/M$60</f>
        <v>0</v>
      </c>
      <c r="K56" s="434">
        <f>O56*(V56+T56+U56+AE56+AF56+AD56)</f>
        <v>0</v>
      </c>
      <c r="L56" s="435">
        <f>O56*(W56+U56+V56+AF56+AG56+AE56)</f>
        <v>0</v>
      </c>
      <c r="M56" s="435">
        <f>O56*(V56+W56+X56+AG56+AH56+AF56+Y56)</f>
        <v>0</v>
      </c>
      <c r="N56"/>
      <c r="O56" s="920">
        <f t="shared" si="23"/>
        <v>1.232</v>
      </c>
      <c r="P56"/>
      <c r="Q56" s="461" t="s">
        <v>537</v>
      </c>
      <c r="R56" s="505"/>
      <c r="S56" s="432"/>
      <c r="T56" s="432"/>
      <c r="U56" s="432"/>
      <c r="V56" s="148"/>
      <c r="W56" s="1524"/>
      <c r="X56" s="1713"/>
      <c r="Y56" s="148"/>
      <c r="Z56" s="148"/>
      <c r="AA56" s="461" t="s">
        <v>537</v>
      </c>
      <c r="AB56" s="434"/>
      <c r="AC56" s="434"/>
      <c r="AD56" s="434"/>
      <c r="AE56" s="449"/>
      <c r="AF56" s="449"/>
      <c r="AG56" s="449"/>
      <c r="AH56" s="1717"/>
      <c r="AI56" s="449"/>
      <c r="AJ56">
        <v>27</v>
      </c>
      <c r="AK56">
        <v>8</v>
      </c>
      <c r="AL56" s="455">
        <v>1</v>
      </c>
      <c r="AM56">
        <v>5</v>
      </c>
      <c r="AN56" s="449"/>
      <c r="AO56" s="449"/>
      <c r="AS56" s="449"/>
      <c r="AT56" s="461" t="s">
        <v>537</v>
      </c>
      <c r="AU56" s="434"/>
      <c r="AV56">
        <v>0</v>
      </c>
      <c r="AW56">
        <v>0</v>
      </c>
      <c r="AX56">
        <v>0</v>
      </c>
      <c r="AY56">
        <v>0</v>
      </c>
      <c r="AZ56" s="455">
        <v>0</v>
      </c>
      <c r="BA56" s="1206">
        <f>AVERAGE(AX56:AZ56)</f>
        <v>0</v>
      </c>
    </row>
    <row r="57" spans="1:53">
      <c r="A57" s="463" t="s">
        <v>518</v>
      </c>
      <c r="B57" s="524">
        <f>G57*F$4+G32*F$5</f>
        <v>1.6847251434569249E-2</v>
      </c>
      <c r="C57" s="524">
        <f>H57*F$4+H32*F$5</f>
        <v>1.5656660934591945E-2</v>
      </c>
      <c r="D57" s="524">
        <f>I57*F$4+I32*F$5</f>
        <v>1.4926700499870821E-2</v>
      </c>
      <c r="E57" s="42"/>
      <c r="F57" s="463" t="s">
        <v>518</v>
      </c>
      <c r="G57" s="524">
        <f t="shared" si="26"/>
        <v>2.92019024865867E-2</v>
      </c>
      <c r="H57" s="524">
        <f t="shared" si="26"/>
        <v>2.7138212286626037E-2</v>
      </c>
      <c r="I57" s="524">
        <f>M57/M$60</f>
        <v>2.5872947533109425E-2</v>
      </c>
      <c r="K57" s="444">
        <f>O57*(V57+T57+U57+AE57+AF57+AD57)</f>
        <v>528.01600000000008</v>
      </c>
      <c r="L57" s="435">
        <f>O57*(W57+U57+V57+AF57+AG57+AE57)</f>
        <v>533.42600000000004</v>
      </c>
      <c r="M57" s="435">
        <f>O57*(V57+W57+X57+AG57+AH57+AF57+Y57)</f>
        <v>537.17200338269504</v>
      </c>
      <c r="N57"/>
      <c r="O57" s="920">
        <f t="shared" si="23"/>
        <v>1.0820000000000001</v>
      </c>
      <c r="P57"/>
      <c r="Q57" s="463" t="s">
        <v>518</v>
      </c>
      <c r="R57" s="510">
        <v>101</v>
      </c>
      <c r="S57" s="510">
        <v>180</v>
      </c>
      <c r="T57" s="509">
        <v>171</v>
      </c>
      <c r="U57" s="509">
        <f>'Degree data'!E22</f>
        <v>182</v>
      </c>
      <c r="V57" s="497">
        <f>'Degree data'!F22</f>
        <v>135</v>
      </c>
      <c r="W57" s="509">
        <f>'Degree data'!G22</f>
        <v>176</v>
      </c>
      <c r="X57" s="1713">
        <f>'Degree data'!H22</f>
        <v>185.46211033520794</v>
      </c>
      <c r="Y57" s="497">
        <f>3*'What If Data'!L40</f>
        <v>0</v>
      </c>
      <c r="Z57" s="148"/>
      <c r="AA57" s="463" t="s">
        <v>518</v>
      </c>
      <c r="AB57" s="434"/>
      <c r="AC57" s="434"/>
      <c r="AD57" s="434"/>
      <c r="AE57" s="449"/>
      <c r="AF57" s="449"/>
      <c r="AG57" s="449"/>
      <c r="AH57" s="1717"/>
      <c r="AI57" s="449"/>
      <c r="AN57" s="449"/>
      <c r="AO57" s="449"/>
      <c r="AS57" s="449"/>
      <c r="AT57" s="463" t="s">
        <v>518</v>
      </c>
      <c r="AU57" s="434"/>
    </row>
    <row r="58" spans="1:53">
      <c r="A58" s="461" t="s">
        <v>536</v>
      </c>
      <c r="B58" s="523">
        <f>G58*F$4+G33*F$5</f>
        <v>0</v>
      </c>
      <c r="C58" s="523">
        <f>H58*F$4+H33*F$5</f>
        <v>0</v>
      </c>
      <c r="D58" s="523">
        <f>I58*F$4+I33*F$5</f>
        <v>0</v>
      </c>
      <c r="E58" s="42"/>
      <c r="F58" s="461" t="s">
        <v>536</v>
      </c>
      <c r="G58" s="523">
        <f t="shared" si="26"/>
        <v>0</v>
      </c>
      <c r="H58" s="523">
        <f t="shared" si="26"/>
        <v>0</v>
      </c>
      <c r="I58" s="523">
        <f>M58/M$60</f>
        <v>0</v>
      </c>
      <c r="K58" s="434">
        <f>O58*(V58+T58+U58+AE58+AF58+AD58)</f>
        <v>0</v>
      </c>
      <c r="L58" s="435">
        <f>O58*(W58+U58+V58+AF58+AG58+AE58)</f>
        <v>0</v>
      </c>
      <c r="M58" s="435">
        <f>O58*(V58+W58+X58+AG58+AH58+AF58+Y58)</f>
        <v>0</v>
      </c>
      <c r="N58"/>
      <c r="O58" s="920">
        <f t="shared" si="23"/>
        <v>0</v>
      </c>
      <c r="P58"/>
      <c r="Q58" s="461" t="s">
        <v>536</v>
      </c>
      <c r="R58" s="505"/>
      <c r="S58" s="432"/>
      <c r="T58" s="432"/>
      <c r="U58" s="432"/>
      <c r="V58" s="432"/>
      <c r="W58" s="432"/>
      <c r="X58" s="1713"/>
      <c r="Y58" s="432"/>
      <c r="Z58" s="148"/>
      <c r="AA58" s="461" t="s">
        <v>536</v>
      </c>
      <c r="AB58" s="435">
        <f t="shared" ref="AB58:AH58" si="27">AU58/5/5</f>
        <v>0</v>
      </c>
      <c r="AC58" s="435">
        <f t="shared" si="27"/>
        <v>0</v>
      </c>
      <c r="AD58" s="435">
        <f t="shared" si="27"/>
        <v>0</v>
      </c>
      <c r="AE58" s="435">
        <f t="shared" si="27"/>
        <v>0</v>
      </c>
      <c r="AF58" s="435">
        <f t="shared" si="27"/>
        <v>0</v>
      </c>
      <c r="AG58" s="435">
        <f t="shared" si="27"/>
        <v>0</v>
      </c>
      <c r="AH58" s="1636">
        <f t="shared" si="27"/>
        <v>0</v>
      </c>
      <c r="AI58" s="435"/>
      <c r="AN58" s="435"/>
      <c r="AO58" s="435"/>
      <c r="AS58" s="435"/>
      <c r="AT58" s="461" t="s">
        <v>536</v>
      </c>
      <c r="AU58" s="435"/>
    </row>
    <row r="59" spans="1:53">
      <c r="A59" s="467" t="s">
        <v>520</v>
      </c>
      <c r="B59" s="523">
        <f>G59*F$4+G34*F$5</f>
        <v>0</v>
      </c>
      <c r="C59" s="523">
        <f>H59*F$4+H34*F$5</f>
        <v>0</v>
      </c>
      <c r="D59" s="523">
        <f>I59*F$4+I34*F$5</f>
        <v>0</v>
      </c>
      <c r="E59" s="42"/>
      <c r="F59" s="467" t="s">
        <v>520</v>
      </c>
      <c r="G59" s="470">
        <f t="shared" si="26"/>
        <v>0</v>
      </c>
      <c r="H59" s="470">
        <f t="shared" si="26"/>
        <v>0</v>
      </c>
      <c r="I59" s="470">
        <f>M59/M$60</f>
        <v>0</v>
      </c>
      <c r="K59" s="435">
        <f>O59*(V59+T59+U59+AE59+AF59+AD59)</f>
        <v>0</v>
      </c>
      <c r="L59" s="435">
        <f>O59*(W59+U59+V59+AF59+AG59+AE59)</f>
        <v>0</v>
      </c>
      <c r="M59" s="435">
        <f>O59*(V59+W59+X59+AG59+AH59+AF59+Y59)</f>
        <v>0</v>
      </c>
      <c r="N59"/>
      <c r="O59" s="920">
        <f t="shared" si="23"/>
        <v>0</v>
      </c>
      <c r="P59"/>
      <c r="Q59" s="511" t="s">
        <v>520</v>
      </c>
      <c r="R59" s="512"/>
      <c r="S59" s="513"/>
      <c r="T59" s="513"/>
      <c r="U59" s="432"/>
      <c r="V59" s="432"/>
      <c r="W59" s="432"/>
      <c r="X59" s="1713"/>
      <c r="Y59" s="432"/>
      <c r="Z59" s="148"/>
      <c r="AA59" s="511" t="s">
        <v>520</v>
      </c>
      <c r="AB59" s="514"/>
      <c r="AC59" s="514"/>
      <c r="AD59" s="514"/>
      <c r="AE59" s="515"/>
      <c r="AF59" s="515"/>
      <c r="AG59" s="515"/>
      <c r="AH59" s="515"/>
      <c r="AI59" s="515"/>
      <c r="AN59" s="515"/>
      <c r="AO59" s="515"/>
      <c r="AS59" s="515"/>
      <c r="AT59" s="511" t="s">
        <v>520</v>
      </c>
      <c r="AU59" s="514"/>
    </row>
    <row r="60" spans="1:53">
      <c r="A60" s="468"/>
      <c r="B60" s="471">
        <f>SUM(B42:B59)</f>
        <v>0.99999999999999989</v>
      </c>
      <c r="C60" s="471">
        <f>SUM(C42:C59)</f>
        <v>0.99999999999999989</v>
      </c>
      <c r="D60" s="471">
        <f>SUM(D42:D59)</f>
        <v>1</v>
      </c>
      <c r="E60" s="42"/>
      <c r="F60" s="446"/>
      <c r="G60" s="471">
        <f>SUM(G42:G59)</f>
        <v>0.99999999999999989</v>
      </c>
      <c r="H60" s="471">
        <f>SUM(H42:H59)</f>
        <v>1</v>
      </c>
      <c r="I60" s="471">
        <f>SUM(I42:I59)</f>
        <v>1</v>
      </c>
      <c r="K60" s="447">
        <f>SUM(K42:K59)</f>
        <v>18081.561646284295</v>
      </c>
      <c r="L60" s="447">
        <f>SUM(L42:L59)</f>
        <v>19655.900483278234</v>
      </c>
      <c r="M60" s="447">
        <f>SUM(M42:M59)</f>
        <v>20761.917547093537</v>
      </c>
      <c r="N60"/>
      <c r="O60" s="148"/>
      <c r="P60"/>
      <c r="Q60" s="446" t="s">
        <v>180</v>
      </c>
      <c r="R60" s="447">
        <f t="shared" ref="R60:X60" si="28">SUM(R42:R59)</f>
        <v>4067</v>
      </c>
      <c r="S60" s="447">
        <f t="shared" si="28"/>
        <v>4668</v>
      </c>
      <c r="T60" s="447">
        <f t="shared" si="28"/>
        <v>4724</v>
      </c>
      <c r="U60" s="447">
        <f t="shared" si="28"/>
        <v>5025</v>
      </c>
      <c r="V60" s="447">
        <f t="shared" si="28"/>
        <v>5312</v>
      </c>
      <c r="W60" s="447">
        <f t="shared" si="28"/>
        <v>5679</v>
      </c>
      <c r="X60" s="1714">
        <f t="shared" si="28"/>
        <v>5835.5491051270665</v>
      </c>
      <c r="Y60" s="447"/>
      <c r="Z60" s="148"/>
      <c r="AA60" s="446" t="s">
        <v>180</v>
      </c>
      <c r="AB60" s="447">
        <f t="shared" ref="AB60:AG60" si="29">SUM(AB42:AB59)</f>
        <v>0</v>
      </c>
      <c r="AC60" s="447">
        <f t="shared" si="29"/>
        <v>0</v>
      </c>
      <c r="AD60" s="447">
        <f t="shared" si="29"/>
        <v>0</v>
      </c>
      <c r="AE60" s="447">
        <f t="shared" si="29"/>
        <v>310</v>
      </c>
      <c r="AF60" s="447">
        <f t="shared" si="29"/>
        <v>334</v>
      </c>
      <c r="AG60" s="447">
        <f t="shared" si="29"/>
        <v>372.4</v>
      </c>
      <c r="AH60" s="447">
        <f>SUM(AH42:AH59)</f>
        <v>391.86666666666673</v>
      </c>
      <c r="AI60" s="1710"/>
      <c r="AJ60" s="1710">
        <v>1594</v>
      </c>
      <c r="AK60" s="1710">
        <v>1615</v>
      </c>
      <c r="AL60" s="1710">
        <v>1791</v>
      </c>
      <c r="AM60" s="1712">
        <v>1878.6666666666665</v>
      </c>
      <c r="AN60" s="1710"/>
      <c r="AO60" s="1710"/>
      <c r="AP60" s="1710"/>
      <c r="AQ60" s="1710"/>
      <c r="AR60" s="1710"/>
      <c r="AS60" s="1710"/>
      <c r="AT60" s="446" t="s">
        <v>180</v>
      </c>
      <c r="AU60" s="447">
        <f t="shared" ref="AU60:BA60" si="30">SUM(AU42:AU59)</f>
        <v>0</v>
      </c>
      <c r="AV60" s="447">
        <f t="shared" si="30"/>
        <v>3501</v>
      </c>
      <c r="AW60" s="447">
        <f t="shared" si="30"/>
        <v>3665</v>
      </c>
      <c r="AX60" s="447">
        <f t="shared" si="30"/>
        <v>3632</v>
      </c>
      <c r="AY60" s="447">
        <f t="shared" si="30"/>
        <v>3922</v>
      </c>
      <c r="AZ60" s="447">
        <f t="shared" si="30"/>
        <v>4296</v>
      </c>
      <c r="BA60" s="447">
        <f t="shared" si="30"/>
        <v>4203</v>
      </c>
    </row>
    <row r="61" spans="1:53">
      <c r="E61" s="42"/>
      <c r="F61"/>
      <c r="M61"/>
      <c r="N61"/>
      <c r="P61"/>
      <c r="Q61"/>
      <c r="AA61" s="499"/>
      <c r="AB61" s="453"/>
      <c r="AC61" s="453"/>
      <c r="AD61" s="453"/>
      <c r="AE61" s="500"/>
      <c r="AG61" s="499"/>
      <c r="AH61" s="499"/>
      <c r="AI61" s="453"/>
      <c r="AJ61" s="453"/>
      <c r="AK61" s="453"/>
      <c r="AL61" s="500"/>
    </row>
    <row r="62" spans="1:53">
      <c r="E62" s="42"/>
      <c r="F62"/>
      <c r="M62"/>
      <c r="N62"/>
      <c r="P62"/>
      <c r="Q62"/>
    </row>
    <row r="63" spans="1:53">
      <c r="F63"/>
      <c r="M63"/>
      <c r="N63"/>
      <c r="P63"/>
      <c r="Q63"/>
    </row>
    <row r="64" spans="1:53">
      <c r="F64"/>
      <c r="M64"/>
      <c r="N64"/>
      <c r="P64"/>
      <c r="Q64"/>
    </row>
    <row r="65" spans="1:17">
      <c r="F65"/>
      <c r="M65"/>
      <c r="N65"/>
      <c r="P65"/>
      <c r="Q65"/>
    </row>
    <row r="66" spans="1:17">
      <c r="F66"/>
      <c r="M66"/>
      <c r="N66"/>
      <c r="P66"/>
      <c r="Q66"/>
    </row>
    <row r="67" spans="1:17">
      <c r="A67" s="458" t="s">
        <v>975</v>
      </c>
      <c r="B67" s="211"/>
      <c r="C67" s="211"/>
      <c r="D67" s="211"/>
      <c r="F67"/>
      <c r="M67"/>
      <c r="N67"/>
      <c r="P67"/>
      <c r="Q67"/>
    </row>
    <row r="68" spans="1:17">
      <c r="A68" s="459"/>
      <c r="B68" s="460" t="s">
        <v>1666</v>
      </c>
      <c r="C68" s="460" t="s">
        <v>1667</v>
      </c>
      <c r="F68"/>
      <c r="M68"/>
      <c r="N68"/>
      <c r="P68"/>
      <c r="Q68"/>
    </row>
    <row r="69" spans="1:17">
      <c r="A69" s="461" t="s">
        <v>513</v>
      </c>
      <c r="B69" s="435">
        <f>0.4*D17*I17/(0.4*I17+0.6*I42)</f>
        <v>1204063.8406593793</v>
      </c>
      <c r="C69" s="841" t="e">
        <f>B69/((#REF!+U17+V17)/3)</f>
        <v>#REF!</v>
      </c>
      <c r="F69" s="214"/>
      <c r="G69" s="522" t="s">
        <v>554</v>
      </c>
      <c r="H69" s="522" t="s">
        <v>555</v>
      </c>
      <c r="M69"/>
      <c r="N69"/>
      <c r="P69"/>
      <c r="Q69"/>
    </row>
    <row r="70" spans="1:17">
      <c r="A70" s="461" t="s">
        <v>6</v>
      </c>
      <c r="B70" s="435">
        <f>0.4*D18*I18/(0.4*I18+0.6*I43)</f>
        <v>2638172.9524553725</v>
      </c>
      <c r="C70" s="841" t="e">
        <f>B70/((#REF!+U18+V18)/3)</f>
        <v>#REF!</v>
      </c>
      <c r="F70" s="461" t="s">
        <v>513</v>
      </c>
      <c r="G70" s="517">
        <f>I42</f>
        <v>0.10426677891128447</v>
      </c>
      <c r="H70" s="470">
        <f>I17</f>
        <v>7.3300371285124913E-2</v>
      </c>
      <c r="M70"/>
      <c r="N70"/>
      <c r="P70"/>
      <c r="Q70"/>
    </row>
    <row r="71" spans="1:17">
      <c r="A71" s="461" t="s">
        <v>8</v>
      </c>
      <c r="B71" s="435">
        <f>0.4*D19*I19/(0.4*I19+0.6*I44)</f>
        <v>17691.327293694521</v>
      </c>
      <c r="C71" s="841" t="e">
        <f>B71/((#REF!+U19+V19)/3)</f>
        <v>#REF!</v>
      </c>
      <c r="F71" s="461" t="s">
        <v>6</v>
      </c>
      <c r="G71" s="517">
        <f t="shared" ref="G71:G81" si="31">I43</f>
        <v>0.13717096369513748</v>
      </c>
      <c r="H71" s="470">
        <f t="shared" ref="H71:H81" si="32">I18</f>
        <v>0.15881230691797776</v>
      </c>
      <c r="M71"/>
      <c r="N71"/>
      <c r="P71"/>
      <c r="Q71"/>
    </row>
    <row r="72" spans="1:17">
      <c r="A72" s="463" t="s">
        <v>2</v>
      </c>
      <c r="B72" s="443">
        <f>0.4*D20*I20/(0.4*I20+0.6*I45)</f>
        <v>443555.13033094374</v>
      </c>
      <c r="C72" s="842" t="e">
        <f>B72/((#REF!+U20+V20)/3)</f>
        <v>#REF!</v>
      </c>
      <c r="F72" s="461" t="s">
        <v>8</v>
      </c>
      <c r="G72" s="517">
        <f t="shared" si="31"/>
        <v>9.3684552500653811E-3</v>
      </c>
      <c r="H72" s="470">
        <f t="shared" si="32"/>
        <v>1.1033397818153011E-3</v>
      </c>
      <c r="M72"/>
      <c r="N72"/>
      <c r="P72"/>
      <c r="Q72"/>
    </row>
    <row r="73" spans="1:17">
      <c r="A73" s="461" t="s">
        <v>10</v>
      </c>
      <c r="B73" s="434">
        <v>0</v>
      </c>
      <c r="C73" s="841" t="e">
        <f>B73/((#REF!+U21+V21)/3)</f>
        <v>#REF!</v>
      </c>
      <c r="F73" s="463" t="s">
        <v>2</v>
      </c>
      <c r="G73" s="517">
        <f t="shared" si="31"/>
        <v>3.2038128151512441E-2</v>
      </c>
      <c r="H73" s="470">
        <f t="shared" si="32"/>
        <v>2.6898903220662844E-2</v>
      </c>
      <c r="M73"/>
      <c r="N73"/>
      <c r="P73"/>
      <c r="Q73"/>
    </row>
    <row r="74" spans="1:17">
      <c r="A74" s="461" t="s">
        <v>4</v>
      </c>
      <c r="B74" s="435">
        <f>0.4*D22*I22/(0.4*I22+0.6*I47)</f>
        <v>2377988.1407326767</v>
      </c>
      <c r="C74" s="841" t="e">
        <f>B74/((#REF!+U22+V22)/3)</f>
        <v>#REF!</v>
      </c>
      <c r="F74" s="461" t="s">
        <v>10</v>
      </c>
      <c r="G74" s="517">
        <f t="shared" si="31"/>
        <v>0</v>
      </c>
      <c r="H74" s="470">
        <f t="shared" si="32"/>
        <v>0</v>
      </c>
      <c r="M74"/>
      <c r="N74"/>
      <c r="P74"/>
      <c r="Q74"/>
    </row>
    <row r="75" spans="1:17">
      <c r="A75" s="461" t="s">
        <v>14</v>
      </c>
      <c r="B75" s="434">
        <v>0</v>
      </c>
      <c r="C75" s="841"/>
      <c r="F75" s="461" t="s">
        <v>4</v>
      </c>
      <c r="G75" s="517">
        <f t="shared" si="31"/>
        <v>0.11289085778661553</v>
      </c>
      <c r="H75" s="470">
        <f t="shared" si="32"/>
        <v>0.14284912891280002</v>
      </c>
      <c r="M75"/>
      <c r="N75"/>
      <c r="P75"/>
      <c r="Q75"/>
    </row>
    <row r="76" spans="1:17">
      <c r="A76" s="463" t="s">
        <v>17</v>
      </c>
      <c r="B76" s="443">
        <f>0.4*D24*I24/(0.4*I24+0.6*I49)</f>
        <v>2080437.3207409757</v>
      </c>
      <c r="C76" s="842" t="e">
        <f>B76/((#REF!+U24+V24)/3)</f>
        <v>#REF!</v>
      </c>
      <c r="F76" s="461" t="s">
        <v>14</v>
      </c>
      <c r="G76" s="517">
        <f t="shared" si="31"/>
        <v>0</v>
      </c>
      <c r="H76" s="470">
        <f t="shared" si="32"/>
        <v>0</v>
      </c>
      <c r="M76"/>
      <c r="N76"/>
      <c r="P76"/>
      <c r="Q76"/>
    </row>
    <row r="77" spans="1:17">
      <c r="A77" s="461" t="s">
        <v>316</v>
      </c>
      <c r="B77" s="434">
        <v>0</v>
      </c>
      <c r="C77" s="841"/>
      <c r="F77" s="463" t="s">
        <v>17</v>
      </c>
      <c r="G77" s="517">
        <f t="shared" si="31"/>
        <v>0.15615673295010815</v>
      </c>
      <c r="H77" s="470">
        <f t="shared" si="32"/>
        <v>0.12627064695650975</v>
      </c>
      <c r="M77"/>
      <c r="N77"/>
      <c r="P77"/>
      <c r="Q77"/>
    </row>
    <row r="78" spans="1:17">
      <c r="A78" s="461" t="s">
        <v>7</v>
      </c>
      <c r="B78" s="435">
        <f>0.4*D26*I26/(0.4*I26+0.6*I51)</f>
        <v>6239025.6948664309</v>
      </c>
      <c r="C78" s="841" t="e">
        <f>B78/((#REF!+U26+V26)/3)</f>
        <v>#REF!</v>
      </c>
      <c r="F78" s="461" t="s">
        <v>316</v>
      </c>
      <c r="G78" s="517">
        <f t="shared" si="31"/>
        <v>0</v>
      </c>
      <c r="H78" s="470">
        <f t="shared" si="32"/>
        <v>0</v>
      </c>
      <c r="M78"/>
      <c r="N78"/>
      <c r="P78"/>
      <c r="Q78"/>
    </row>
    <row r="79" spans="1:17">
      <c r="A79" s="461" t="s">
        <v>9</v>
      </c>
      <c r="B79" s="435">
        <f>0.4*D27*I27/(0.4*I27+0.6*I52)</f>
        <v>1326719.2815864205</v>
      </c>
      <c r="C79" s="841" t="e">
        <f>B79/((#REF!+U27+V27)/3)</f>
        <v>#REF!</v>
      </c>
      <c r="F79" s="461" t="s">
        <v>7</v>
      </c>
      <c r="G79" s="517">
        <f t="shared" si="31"/>
        <v>0.29019222874572287</v>
      </c>
      <c r="H79" s="470">
        <f t="shared" si="32"/>
        <v>0.37460942190234747</v>
      </c>
      <c r="M79"/>
      <c r="N79"/>
      <c r="P79"/>
      <c r="Q79"/>
    </row>
    <row r="80" spans="1:17">
      <c r="A80" s="463" t="s">
        <v>5</v>
      </c>
      <c r="B80" s="443">
        <f>0.4*D28*I28/(0.4*I28+0.6*I53)</f>
        <v>254139.74407272579</v>
      </c>
      <c r="C80" s="842" t="e">
        <f>B80/((#REF!+U28+V28)/3)</f>
        <v>#REF!</v>
      </c>
      <c r="F80" s="461" t="s">
        <v>9</v>
      </c>
      <c r="G80" s="517">
        <f t="shared" si="31"/>
        <v>0.10614171343494838</v>
      </c>
      <c r="H80" s="470">
        <f t="shared" si="32"/>
        <v>8.0633886207528746E-2</v>
      </c>
      <c r="M80"/>
      <c r="N80"/>
      <c r="P80"/>
      <c r="Q80"/>
    </row>
    <row r="81" spans="1:17" ht="16.5" thickBot="1">
      <c r="A81" s="461"/>
      <c r="B81" s="434"/>
      <c r="C81" s="841"/>
      <c r="F81" s="519" t="s">
        <v>5</v>
      </c>
      <c r="G81" s="520">
        <f t="shared" si="31"/>
        <v>2.5901193541495841E-2</v>
      </c>
      <c r="H81" s="521">
        <f t="shared" si="32"/>
        <v>1.5521994815233305E-2</v>
      </c>
      <c r="M81"/>
      <c r="N81"/>
      <c r="P81"/>
      <c r="Q81"/>
    </row>
    <row r="82" spans="1:17" ht="16.5" thickTop="1">
      <c r="A82" s="461" t="s">
        <v>516</v>
      </c>
      <c r="B82" s="435">
        <v>0</v>
      </c>
      <c r="C82" s="841"/>
      <c r="F82"/>
      <c r="G82" s="1093">
        <f>SUM(G70:G81)</f>
        <v>0.97412705246689069</v>
      </c>
      <c r="H82" s="1093">
        <f>SUM(H70:H81)</f>
        <v>1</v>
      </c>
      <c r="M82"/>
      <c r="N82"/>
      <c r="P82"/>
      <c r="Q82"/>
    </row>
    <row r="83" spans="1:17">
      <c r="A83" s="461" t="s">
        <v>537</v>
      </c>
      <c r="B83" s="434">
        <v>0</v>
      </c>
      <c r="C83" s="841"/>
      <c r="F83"/>
      <c r="M83"/>
      <c r="N83"/>
      <c r="P83"/>
      <c r="Q83"/>
    </row>
    <row r="84" spans="1:17">
      <c r="A84" s="463" t="s">
        <v>518</v>
      </c>
      <c r="B84" s="443">
        <f>0.4*D32*I32/(0.4*I32+0.6*I57)</f>
        <v>0</v>
      </c>
      <c r="C84" s="842"/>
      <c r="F84"/>
      <c r="M84"/>
      <c r="N84"/>
      <c r="P84"/>
      <c r="Q84"/>
    </row>
    <row r="85" spans="1:17">
      <c r="A85" s="461" t="s">
        <v>536</v>
      </c>
      <c r="B85" s="435">
        <v>0</v>
      </c>
      <c r="C85" s="841"/>
      <c r="F85"/>
      <c r="M85"/>
      <c r="N85"/>
      <c r="P85"/>
      <c r="Q85"/>
    </row>
    <row r="86" spans="1:17">
      <c r="A86" s="467" t="s">
        <v>520</v>
      </c>
      <c r="B86" s="435">
        <v>0</v>
      </c>
      <c r="C86" s="841"/>
      <c r="F86"/>
      <c r="M86"/>
      <c r="N86"/>
      <c r="P86"/>
      <c r="Q86"/>
    </row>
    <row r="87" spans="1:17">
      <c r="A87" s="468"/>
      <c r="B87" s="447">
        <f>SUM(B69:B86)</f>
        <v>16581793.432738619</v>
      </c>
      <c r="C87" s="1091" t="e">
        <f>B87/((#REF!+U35+V35)/3)</f>
        <v>#REF!</v>
      </c>
      <c r="F87"/>
      <c r="M87"/>
      <c r="N87"/>
      <c r="P87"/>
      <c r="Q87"/>
    </row>
    <row r="88" spans="1:17">
      <c r="F88"/>
      <c r="M88"/>
      <c r="N88"/>
      <c r="P88"/>
      <c r="Q88"/>
    </row>
    <row r="89" spans="1:17">
      <c r="F89"/>
      <c r="M89"/>
      <c r="N89"/>
      <c r="P89"/>
      <c r="Q89"/>
    </row>
    <row r="90" spans="1:17">
      <c r="A90" s="458" t="s">
        <v>974</v>
      </c>
      <c r="B90" s="211"/>
      <c r="C90" s="211"/>
      <c r="E90" s="211" t="s">
        <v>1246</v>
      </c>
      <c r="F90" s="211"/>
      <c r="M90"/>
      <c r="N90"/>
      <c r="P90"/>
      <c r="Q90"/>
    </row>
    <row r="91" spans="1:17" ht="25.5">
      <c r="A91" s="459"/>
      <c r="B91" s="460" t="s">
        <v>1666</v>
      </c>
      <c r="C91" s="460" t="s">
        <v>1668</v>
      </c>
      <c r="E91" s="460" t="s">
        <v>1247</v>
      </c>
      <c r="F91" s="460" t="s">
        <v>1248</v>
      </c>
      <c r="M91"/>
      <c r="N91"/>
      <c r="P91"/>
      <c r="Q91"/>
    </row>
    <row r="92" spans="1:17">
      <c r="A92" s="461" t="s">
        <v>513</v>
      </c>
      <c r="B92" s="435">
        <f>0.6*D17*I42/(0.6*I42+0.4*I17)</f>
        <v>2569097.3197276397</v>
      </c>
      <c r="C92" s="841" t="e">
        <f>B92/((#REF!+U42+V42+AG42+AE42+AF42)/3)</f>
        <v>#REF!</v>
      </c>
      <c r="E92" s="435" t="e">
        <f>(B69+B92)*C69/B69</f>
        <v>#REF!</v>
      </c>
      <c r="F92" s="841" t="e">
        <f>(B92+B69)*C92/B92</f>
        <v>#REF!</v>
      </c>
      <c r="M92"/>
      <c r="N92"/>
      <c r="P92"/>
      <c r="Q92"/>
    </row>
    <row r="93" spans="1:17">
      <c r="A93" s="461" t="s">
        <v>6</v>
      </c>
      <c r="B93" s="435">
        <f>0.6*D18*I43/(0.6*I43+0.4*I18)</f>
        <v>3418003.9315496921</v>
      </c>
      <c r="C93" s="841" t="e">
        <f>B93/((#REF!+U43+V43+AG43+AE43+AF43)/3)</f>
        <v>#REF!</v>
      </c>
      <c r="E93" s="435" t="e">
        <f t="shared" ref="E93:E103" si="33">(B70+B93)*C70/B70</f>
        <v>#REF!</v>
      </c>
      <c r="F93" s="841" t="e">
        <f t="shared" ref="F93:F103" si="34">(B93+B70)*C93/B93</f>
        <v>#REF!</v>
      </c>
      <c r="M93"/>
      <c r="N93"/>
      <c r="P93"/>
      <c r="Q93"/>
    </row>
    <row r="94" spans="1:17">
      <c r="A94" s="461" t="s">
        <v>8</v>
      </c>
      <c r="B94" s="435">
        <f>0.6*D19*I44/(0.6*I44+0.4*I19)</f>
        <v>225325.52183410121</v>
      </c>
      <c r="C94" s="841" t="e">
        <f>B94/((#REF!+U44+V44+AG44+AE44+AF44)/3)</f>
        <v>#REF!</v>
      </c>
      <c r="E94" s="435" t="e">
        <f t="shared" si="33"/>
        <v>#REF!</v>
      </c>
      <c r="F94" s="841" t="e">
        <f t="shared" si="34"/>
        <v>#REF!</v>
      </c>
      <c r="M94"/>
      <c r="N94"/>
      <c r="P94"/>
      <c r="Q94"/>
    </row>
    <row r="95" spans="1:17">
      <c r="A95" s="463" t="s">
        <v>2</v>
      </c>
      <c r="B95" s="443">
        <f>0.6*D20*I45/(0.6*I45+0.4*I20)</f>
        <v>792449.19344261999</v>
      </c>
      <c r="C95" s="842" t="e">
        <f>B95/((#REF!+U45+V45+AG45+AE45+AF45)/3)</f>
        <v>#REF!</v>
      </c>
      <c r="E95" s="443" t="e">
        <f t="shared" si="33"/>
        <v>#REF!</v>
      </c>
      <c r="F95" s="841" t="e">
        <f t="shared" si="34"/>
        <v>#REF!</v>
      </c>
      <c r="M95"/>
      <c r="N95"/>
      <c r="P95"/>
      <c r="Q95"/>
    </row>
    <row r="96" spans="1:17">
      <c r="A96" s="461" t="s">
        <v>10</v>
      </c>
      <c r="B96" s="434">
        <v>0</v>
      </c>
      <c r="C96" s="841"/>
      <c r="E96" s="434"/>
      <c r="F96" s="841"/>
      <c r="M96"/>
      <c r="N96"/>
      <c r="P96"/>
      <c r="Q96"/>
    </row>
    <row r="97" spans="1:17">
      <c r="A97" s="461" t="s">
        <v>4</v>
      </c>
      <c r="B97" s="435">
        <f>0.6*D22*I47/(0.6*I47+0.4*I22)</f>
        <v>2818915.9050901574</v>
      </c>
      <c r="C97" s="841" t="e">
        <f>B97/((#REF!+U47+V47+AG47+AE47+AF47)/3)</f>
        <v>#REF!</v>
      </c>
      <c r="E97" s="435" t="e">
        <f t="shared" si="33"/>
        <v>#REF!</v>
      </c>
      <c r="F97" s="841" t="e">
        <f t="shared" si="34"/>
        <v>#REF!</v>
      </c>
      <c r="M97"/>
      <c r="N97"/>
      <c r="P97"/>
      <c r="Q97"/>
    </row>
    <row r="98" spans="1:17">
      <c r="A98" s="461" t="s">
        <v>14</v>
      </c>
      <c r="B98" s="434">
        <v>0</v>
      </c>
      <c r="C98" s="841"/>
      <c r="E98" s="434"/>
      <c r="F98" s="841"/>
      <c r="M98"/>
      <c r="N98"/>
      <c r="P98"/>
      <c r="Q98"/>
    </row>
    <row r="99" spans="1:17">
      <c r="A99" s="463" t="s">
        <v>17</v>
      </c>
      <c r="B99" s="443">
        <f>0.6*D24*I49/(0.6*I49+0.4*I24)</f>
        <v>3859261.4706363301</v>
      </c>
      <c r="C99" s="842" t="e">
        <f>B99/((#REF!+U49+V49+AG49+AE49+AF49)/3)</f>
        <v>#REF!</v>
      </c>
      <c r="E99" s="443" t="e">
        <f t="shared" si="33"/>
        <v>#REF!</v>
      </c>
      <c r="F99" s="841" t="e">
        <f t="shared" si="34"/>
        <v>#REF!</v>
      </c>
      <c r="M99"/>
      <c r="N99"/>
      <c r="P99"/>
      <c r="Q99"/>
    </row>
    <row r="100" spans="1:17">
      <c r="A100" s="461" t="s">
        <v>316</v>
      </c>
      <c r="B100" s="434">
        <v>0</v>
      </c>
      <c r="C100" s="841"/>
      <c r="E100" s="434"/>
      <c r="F100" s="841"/>
      <c r="M100"/>
      <c r="N100"/>
      <c r="P100"/>
      <c r="Q100"/>
    </row>
    <row r="101" spans="1:17">
      <c r="A101" s="461" t="s">
        <v>7</v>
      </c>
      <c r="B101" s="435">
        <f>0.6*D26*I51/(0.6*I51+0.4*I26)</f>
        <v>7249617.8649255279</v>
      </c>
      <c r="C101" s="841" t="e">
        <f>B101/((#REF!+U51+V51+AG51+AE51+AF51)/3)</f>
        <v>#REF!</v>
      </c>
      <c r="E101" s="435" t="e">
        <f t="shared" si="33"/>
        <v>#REF!</v>
      </c>
      <c r="F101" s="841" t="e">
        <f t="shared" si="34"/>
        <v>#REF!</v>
      </c>
      <c r="M101"/>
      <c r="N101"/>
      <c r="P101"/>
      <c r="Q101"/>
    </row>
    <row r="102" spans="1:17">
      <c r="A102" s="461" t="s">
        <v>9</v>
      </c>
      <c r="B102" s="435">
        <f>0.6*D27*I52/(0.6*I52+0.4*I27)</f>
        <v>2619623.0471702991</v>
      </c>
      <c r="C102" s="841" t="e">
        <f>B102/((#REF!+U52+V52+AG52+AE52+AF52)/3)</f>
        <v>#REF!</v>
      </c>
      <c r="E102" s="435" t="e">
        <f t="shared" si="33"/>
        <v>#REF!</v>
      </c>
      <c r="F102" s="841" t="e">
        <f t="shared" si="34"/>
        <v>#REF!</v>
      </c>
      <c r="M102"/>
      <c r="N102"/>
      <c r="P102"/>
      <c r="Q102"/>
    </row>
    <row r="103" spans="1:17">
      <c r="A103" s="463" t="s">
        <v>5</v>
      </c>
      <c r="B103" s="443">
        <f>0.6*D28*I53/(0.6*I53+0.4*I28)</f>
        <v>636115.66452983813</v>
      </c>
      <c r="C103" s="842" t="e">
        <f>B103/((#REF!+U53+V53+AG53+AE53+AF53)/3)</f>
        <v>#REF!</v>
      </c>
      <c r="E103" s="443" t="e">
        <f t="shared" si="33"/>
        <v>#REF!</v>
      </c>
      <c r="F103" s="841" t="e">
        <f t="shared" si="34"/>
        <v>#REF!</v>
      </c>
      <c r="M103"/>
      <c r="N103"/>
      <c r="P103"/>
      <c r="Q103"/>
    </row>
    <row r="104" spans="1:17">
      <c r="A104" s="461"/>
      <c r="B104" s="434"/>
      <c r="C104" s="841"/>
      <c r="E104" s="434"/>
      <c r="F104" s="841">
        <f t="shared" ref="F104:F109" si="35">B104+B81</f>
        <v>0</v>
      </c>
      <c r="M104"/>
      <c r="N104"/>
      <c r="P104"/>
      <c r="Q104"/>
    </row>
    <row r="105" spans="1:17">
      <c r="A105" s="461" t="s">
        <v>516</v>
      </c>
      <c r="B105" s="435">
        <v>0</v>
      </c>
      <c r="C105" s="841"/>
      <c r="E105" s="435"/>
      <c r="F105" s="841">
        <f t="shared" si="35"/>
        <v>0</v>
      </c>
      <c r="M105"/>
      <c r="N105"/>
      <c r="P105"/>
      <c r="Q105"/>
    </row>
    <row r="106" spans="1:17">
      <c r="A106" s="461" t="s">
        <v>537</v>
      </c>
      <c r="B106" s="434">
        <v>0</v>
      </c>
      <c r="C106" s="841"/>
      <c r="E106" s="434"/>
      <c r="F106" s="841">
        <f t="shared" si="35"/>
        <v>0</v>
      </c>
      <c r="M106"/>
      <c r="N106"/>
      <c r="P106"/>
      <c r="Q106"/>
    </row>
    <row r="107" spans="1:17">
      <c r="A107" s="463" t="s">
        <v>518</v>
      </c>
      <c r="B107" s="443">
        <f>0.6*D32*I57/(0.6*I57+0.4*I32)</f>
        <v>617786.12318255415</v>
      </c>
      <c r="C107" s="842" t="e">
        <f>B107/((#REF!+U57+V57+AG57+AE57+AF57)/3)</f>
        <v>#REF!</v>
      </c>
      <c r="E107" s="443"/>
      <c r="F107" s="841" t="e">
        <f>(B107+B84)*C107/B107</f>
        <v>#REF!</v>
      </c>
      <c r="M107"/>
      <c r="N107"/>
      <c r="P107"/>
      <c r="Q107"/>
    </row>
    <row r="108" spans="1:17">
      <c r="A108" s="461" t="s">
        <v>536</v>
      </c>
      <c r="B108" s="435">
        <v>0</v>
      </c>
      <c r="C108" s="841"/>
      <c r="E108" s="435"/>
      <c r="F108" s="841">
        <f t="shared" si="35"/>
        <v>0</v>
      </c>
      <c r="M108"/>
      <c r="N108"/>
      <c r="P108"/>
      <c r="Q108"/>
    </row>
    <row r="109" spans="1:17">
      <c r="A109" s="467" t="s">
        <v>520</v>
      </c>
      <c r="B109" s="435">
        <v>0</v>
      </c>
      <c r="C109" s="841"/>
      <c r="E109" s="435"/>
      <c r="F109" s="841">
        <f t="shared" si="35"/>
        <v>0</v>
      </c>
      <c r="M109"/>
      <c r="N109"/>
      <c r="P109"/>
      <c r="Q109"/>
    </row>
    <row r="110" spans="1:17">
      <c r="A110" s="468"/>
      <c r="B110" s="447">
        <f>SUM(B92:B109)</f>
        <v>24806196.042088762</v>
      </c>
      <c r="C110" s="841" t="e">
        <f>B110/((#REF!+U60+V60+AG60+AE60+AF60)/3)</f>
        <v>#REF!</v>
      </c>
      <c r="E110" s="447" t="e">
        <f>(B87+B110)*C87/B87</f>
        <v>#REF!</v>
      </c>
      <c r="F110" s="841" t="e">
        <f>(B110+B87)*C110/B110</f>
        <v>#REF!</v>
      </c>
      <c r="M110"/>
      <c r="N110"/>
      <c r="P110"/>
      <c r="Q110"/>
    </row>
    <row r="111" spans="1:17">
      <c r="F111"/>
      <c r="M111"/>
      <c r="N111"/>
      <c r="P111"/>
      <c r="Q111"/>
    </row>
    <row r="112" spans="1:17">
      <c r="F112"/>
      <c r="M112"/>
      <c r="N112"/>
      <c r="P112"/>
      <c r="Q112"/>
    </row>
    <row r="113" spans="5:17">
      <c r="E113" s="42"/>
      <c r="F113"/>
      <c r="L113" s="42"/>
      <c r="N113"/>
      <c r="O113" s="42"/>
      <c r="Q113"/>
    </row>
    <row r="114" spans="5:17">
      <c r="E114" s="42"/>
      <c r="F114"/>
      <c r="L114" s="42"/>
      <c r="N114"/>
      <c r="O114" s="42"/>
      <c r="Q114"/>
    </row>
    <row r="115" spans="5:17">
      <c r="E115" s="42"/>
      <c r="F115"/>
      <c r="L115" s="42"/>
      <c r="N115"/>
      <c r="O115" s="42"/>
      <c r="Q115"/>
    </row>
    <row r="116" spans="5:17">
      <c r="E116" s="42"/>
      <c r="F116"/>
      <c r="L116" s="42"/>
      <c r="N116"/>
      <c r="O116" s="42"/>
      <c r="Q116"/>
    </row>
    <row r="117" spans="5:17">
      <c r="E117" s="42"/>
      <c r="F117"/>
      <c r="L117" s="42"/>
      <c r="N117"/>
      <c r="O117" s="42"/>
      <c r="Q117"/>
    </row>
    <row r="118" spans="5:17">
      <c r="E118" s="42"/>
      <c r="F118"/>
      <c r="L118" s="42"/>
      <c r="N118"/>
      <c r="O118" s="42"/>
      <c r="Q118"/>
    </row>
    <row r="119" spans="5:17">
      <c r="E119" s="42"/>
      <c r="F119"/>
      <c r="L119" s="42"/>
      <c r="N119"/>
      <c r="O119" s="42"/>
      <c r="Q119"/>
    </row>
    <row r="120" spans="5:17">
      <c r="E120" s="42"/>
      <c r="F120"/>
      <c r="L120" s="42"/>
      <c r="N120"/>
      <c r="O120" s="42"/>
      <c r="Q120"/>
    </row>
    <row r="121" spans="5:17">
      <c r="E121" s="42"/>
      <c r="F121"/>
      <c r="L121" s="42"/>
      <c r="N121"/>
      <c r="O121" s="42"/>
      <c r="Q121"/>
    </row>
    <row r="122" spans="5:17">
      <c r="E122" s="42"/>
      <c r="F122"/>
      <c r="L122" s="42"/>
      <c r="N122"/>
      <c r="O122" s="42"/>
      <c r="Q122"/>
    </row>
    <row r="123" spans="5:17">
      <c r="E123" s="42"/>
      <c r="F123"/>
      <c r="L123" s="42"/>
      <c r="N123"/>
      <c r="O123" s="42"/>
      <c r="Q123"/>
    </row>
    <row r="124" spans="5:17">
      <c r="E124" s="42"/>
      <c r="F124"/>
      <c r="L124" s="42"/>
      <c r="N124"/>
      <c r="O124" s="42"/>
      <c r="Q124"/>
    </row>
  </sheetData>
  <pageMargins left="0.75" right="0.75" top="1" bottom="1" header="0.5" footer="0.5"/>
  <pageSetup orientation="portrait" horizontalDpi="4294967292" verticalDpi="4294967292"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145"/>
  <sheetViews>
    <sheetView workbookViewId="0">
      <selection activeCell="M18" sqref="M18"/>
    </sheetView>
  </sheetViews>
  <sheetFormatPr defaultColWidth="11" defaultRowHeight="15.75"/>
  <cols>
    <col min="1" max="1" width="18.5" customWidth="1"/>
    <col min="2" max="2" width="13.625" customWidth="1"/>
    <col min="3" max="3" width="12.125" customWidth="1"/>
    <col min="4" max="4" width="13.125" customWidth="1"/>
    <col min="5" max="5" width="8" style="42" customWidth="1"/>
    <col min="6" max="6" width="19.875" customWidth="1"/>
    <col min="11" max="11" width="11.875" customWidth="1"/>
    <col min="12" max="12" width="11" style="42" customWidth="1"/>
    <col min="13" max="13" width="11.875" style="42" customWidth="1"/>
    <col min="14" max="14" width="5.625" customWidth="1"/>
    <col min="15" max="15" width="9.625" style="42" customWidth="1"/>
    <col min="16" max="16" width="11" style="42" customWidth="1"/>
    <col min="17" max="17" width="21.875" customWidth="1"/>
    <col min="27" max="27" width="23.375" customWidth="1"/>
  </cols>
  <sheetData>
    <row r="1" spans="1:33">
      <c r="A1" s="10" t="s">
        <v>559</v>
      </c>
      <c r="Q1" s="1" t="s">
        <v>797</v>
      </c>
    </row>
    <row r="2" spans="1:33" ht="16.5" thickBot="1">
      <c r="A2" s="10"/>
      <c r="L2"/>
      <c r="M2"/>
      <c r="O2"/>
      <c r="Q2" s="1" t="s">
        <v>798</v>
      </c>
    </row>
    <row r="3" spans="1:33" ht="16.5" thickBot="1">
      <c r="A3" s="418" t="s">
        <v>290</v>
      </c>
      <c r="B3" s="419" t="s">
        <v>249</v>
      </c>
      <c r="C3" s="420" t="s">
        <v>291</v>
      </c>
      <c r="D3" s="490"/>
      <c r="F3" s="148"/>
      <c r="G3" s="588" t="s">
        <v>600</v>
      </c>
      <c r="H3" s="539"/>
      <c r="I3" s="539"/>
      <c r="J3" s="589"/>
      <c r="L3"/>
      <c r="M3"/>
      <c r="O3"/>
      <c r="P3" s="421"/>
      <c r="U3" s="42"/>
    </row>
    <row r="4" spans="1:33">
      <c r="A4" s="422" t="s">
        <v>251</v>
      </c>
      <c r="B4" s="423" t="s">
        <v>542</v>
      </c>
      <c r="C4" s="915">
        <f>'Dashboard-Academic Allocation'!C26</f>
        <v>0.12</v>
      </c>
      <c r="D4" s="916">
        <f>C4/(C4+C5)</f>
        <v>0.6</v>
      </c>
      <c r="F4" s="148"/>
      <c r="G4" s="585" t="s">
        <v>601</v>
      </c>
      <c r="H4" s="57"/>
      <c r="I4" s="57"/>
      <c r="J4" s="644">
        <v>1.2</v>
      </c>
      <c r="L4"/>
      <c r="M4"/>
      <c r="O4"/>
      <c r="P4" s="149"/>
      <c r="U4" s="42"/>
    </row>
    <row r="5" spans="1:33" ht="16.5" thickBot="1">
      <c r="A5" s="491"/>
      <c r="B5" s="492" t="s">
        <v>560</v>
      </c>
      <c r="C5" s="917">
        <f>'Dashboard-Academic Allocation'!C27</f>
        <v>0.08</v>
      </c>
      <c r="D5" s="918">
        <f>1-D4</f>
        <v>0.4</v>
      </c>
      <c r="F5" s="148"/>
      <c r="G5" s="585" t="s">
        <v>602</v>
      </c>
      <c r="H5" s="57"/>
      <c r="I5" s="57"/>
      <c r="J5" s="590">
        <v>0.83330000000000004</v>
      </c>
      <c r="L5"/>
      <c r="M5"/>
      <c r="O5"/>
      <c r="P5" s="148"/>
    </row>
    <row r="6" spans="1:33" ht="16.5" thickBot="1">
      <c r="D6" s="42"/>
      <c r="G6" s="586" t="s">
        <v>603</v>
      </c>
      <c r="H6" s="396"/>
      <c r="I6" s="396"/>
      <c r="J6" s="587">
        <f>1-J5</f>
        <v>0.16669999999999996</v>
      </c>
      <c r="L6"/>
      <c r="M6"/>
      <c r="O6"/>
      <c r="P6"/>
    </row>
    <row r="7" spans="1:33">
      <c r="D7" s="42"/>
      <c r="F7" s="10"/>
      <c r="L7"/>
      <c r="M7"/>
      <c r="O7"/>
      <c r="P7"/>
      <c r="Q7" s="10"/>
    </row>
    <row r="8" spans="1:33" ht="16.5" thickBot="1">
      <c r="D8" s="42"/>
      <c r="L8"/>
      <c r="M8"/>
      <c r="O8"/>
      <c r="P8"/>
      <c r="U8" s="454"/>
    </row>
    <row r="9" spans="1:33" ht="16.5" thickBot="1">
      <c r="A9" s="477" t="s">
        <v>807</v>
      </c>
      <c r="B9" s="478"/>
      <c r="C9" s="909">
        <f>'Dashboard-Academic Allocation'!D26+'Dashboard-Academic Allocation'!D27</f>
        <v>31836914.980636448</v>
      </c>
      <c r="D9" s="42"/>
      <c r="K9" s="921" t="s">
        <v>708</v>
      </c>
      <c r="L9" s="922"/>
      <c r="M9" s="922"/>
      <c r="N9" s="390"/>
      <c r="O9" s="925">
        <v>0</v>
      </c>
      <c r="P9"/>
      <c r="Q9" s="432"/>
    </row>
    <row r="10" spans="1:33" ht="16.5" thickBot="1">
      <c r="K10" s="395" t="s">
        <v>795</v>
      </c>
      <c r="L10" s="923"/>
      <c r="M10" s="923"/>
      <c r="N10" s="396"/>
      <c r="O10" s="924"/>
      <c r="P10"/>
      <c r="Q10" s="434"/>
      <c r="R10" s="148"/>
      <c r="S10" s="148"/>
      <c r="T10" s="148"/>
      <c r="U10" s="148"/>
    </row>
    <row r="11" spans="1:33" ht="16.5" thickBot="1">
      <c r="O11"/>
      <c r="P11"/>
      <c r="Q11" s="434"/>
      <c r="R11" s="435"/>
      <c r="S11" s="435"/>
      <c r="T11" s="435"/>
      <c r="U11" s="436"/>
    </row>
    <row r="12" spans="1:33" ht="16.5" thickBot="1">
      <c r="K12" s="928" t="s">
        <v>768</v>
      </c>
      <c r="L12" s="902"/>
      <c r="M12" s="902"/>
      <c r="N12" s="902"/>
      <c r="O12" s="929" t="s">
        <v>502</v>
      </c>
      <c r="P12"/>
      <c r="Q12" s="434"/>
      <c r="R12" s="434"/>
      <c r="S12" s="434"/>
      <c r="T12" s="434"/>
      <c r="U12" s="434"/>
    </row>
    <row r="13" spans="1:33" ht="16.5" thickBot="1">
      <c r="K13" s="1019" t="s">
        <v>868</v>
      </c>
      <c r="L13" s="1020"/>
      <c r="M13" s="1020"/>
      <c r="N13" s="1020"/>
      <c r="O13" s="1034" t="str">
        <f>'Dashboard-Academic Allocation'!C14</f>
        <v>yes</v>
      </c>
      <c r="P13"/>
      <c r="Q13" s="437"/>
      <c r="R13" s="435"/>
      <c r="S13" s="435"/>
      <c r="T13" s="435"/>
      <c r="U13" s="438"/>
    </row>
    <row r="14" spans="1:33" ht="51.75">
      <c r="O14" s="386" t="s">
        <v>549</v>
      </c>
      <c r="P14"/>
    </row>
    <row r="15" spans="1:33">
      <c r="A15" s="458" t="s">
        <v>556</v>
      </c>
      <c r="B15" s="211"/>
      <c r="C15" s="211"/>
      <c r="D15" s="211"/>
      <c r="F15" s="456" t="s">
        <v>570</v>
      </c>
      <c r="G15" s="458"/>
      <c r="H15" s="458"/>
      <c r="I15" s="458"/>
      <c r="J15" s="533"/>
      <c r="K15" s="458" t="s">
        <v>566</v>
      </c>
      <c r="L15" s="458"/>
      <c r="M15" s="458"/>
      <c r="O15"/>
      <c r="P15"/>
      <c r="Q15" s="945" t="s">
        <v>564</v>
      </c>
      <c r="R15" s="1046"/>
      <c r="S15" s="1046"/>
      <c r="T15" s="1046"/>
      <c r="U15" s="1046"/>
      <c r="V15" s="1046"/>
      <c r="W15" s="1046"/>
      <c r="X15" s="1046"/>
      <c r="Y15" s="1046"/>
      <c r="AA15" s="914" t="s">
        <v>710</v>
      </c>
      <c r="AB15" s="211"/>
      <c r="AC15" s="211"/>
      <c r="AD15" s="211"/>
      <c r="AE15" s="211"/>
      <c r="AF15" s="211"/>
    </row>
    <row r="16" spans="1:33" ht="38.25">
      <c r="A16" s="459"/>
      <c r="B16" s="460" t="s">
        <v>1675</v>
      </c>
      <c r="C16" s="460" t="s">
        <v>1676</v>
      </c>
      <c r="D16" s="460" t="s">
        <v>1589</v>
      </c>
      <c r="E16" s="535"/>
      <c r="F16" s="459"/>
      <c r="G16" s="460" t="s">
        <v>984</v>
      </c>
      <c r="H16" s="460" t="s">
        <v>1672</v>
      </c>
      <c r="I16" s="460" t="s">
        <v>1590</v>
      </c>
      <c r="J16" s="534"/>
      <c r="K16" s="460" t="s">
        <v>840</v>
      </c>
      <c r="L16" s="460" t="s">
        <v>1213</v>
      </c>
      <c r="M16" s="460" t="s">
        <v>1588</v>
      </c>
      <c r="P16"/>
      <c r="Q16" s="434"/>
      <c r="R16" s="433" t="s">
        <v>507</v>
      </c>
      <c r="S16" s="433" t="s">
        <v>508</v>
      </c>
      <c r="T16" s="433" t="s">
        <v>509</v>
      </c>
      <c r="U16" s="433" t="s">
        <v>821</v>
      </c>
      <c r="V16" s="433" t="s">
        <v>963</v>
      </c>
      <c r="W16" s="433" t="s">
        <v>1473</v>
      </c>
      <c r="X16" s="433" t="s">
        <v>1572</v>
      </c>
      <c r="Y16" s="433" t="s">
        <v>1165</v>
      </c>
      <c r="Z16" s="148"/>
      <c r="AA16" s="518"/>
      <c r="AB16" s="526" t="s">
        <v>246</v>
      </c>
      <c r="AC16" s="526" t="s">
        <v>247</v>
      </c>
      <c r="AD16" s="526" t="s">
        <v>562</v>
      </c>
      <c r="AE16" s="526" t="s">
        <v>563</v>
      </c>
      <c r="AF16" s="788" t="s">
        <v>709</v>
      </c>
      <c r="AG16" s="1033" t="s">
        <v>887</v>
      </c>
    </row>
    <row r="17" spans="1:39">
      <c r="A17" s="461" t="s">
        <v>513</v>
      </c>
      <c r="B17" s="435">
        <f t="shared" ref="B17:B28" si="0">B42*C$9</f>
        <v>3422227.3661234253</v>
      </c>
      <c r="C17" s="435">
        <f>C42*C$9</f>
        <v>3169952.8340362264</v>
      </c>
      <c r="D17" s="435">
        <f>D42*C$9</f>
        <v>3088401.6431756816</v>
      </c>
      <c r="F17" s="461" t="s">
        <v>513</v>
      </c>
      <c r="G17" s="523">
        <f>(K17+K42+K65)/(K$35+K$60+K$83)</f>
        <v>0.11359532516460581</v>
      </c>
      <c r="H17" s="523">
        <f>(L17+L42+L65)/(L$35+L$60+L$83)</f>
        <v>0.10217280234870728</v>
      </c>
      <c r="I17" s="523">
        <f>(M17+M42+M65)/(M$35+M$60+M$83)</f>
        <v>9.9198739630790553E-2</v>
      </c>
      <c r="J17" s="186"/>
      <c r="K17" s="435">
        <f>O17*(T17+U17+V17)+'Interdisciplinary Graduate'!B12</f>
        <v>281.66253088501071</v>
      </c>
      <c r="L17" s="435">
        <f>O17*(U17+V17+W17)+'Interdisciplinary Graduate'!C12</f>
        <v>306.15486630609064</v>
      </c>
      <c r="M17" s="435">
        <f>O17*(V17+W17+X17+Y17)+'Interdisciplinary Graduate'!D12</f>
        <v>336.77056112259169</v>
      </c>
      <c r="O17" s="926">
        <f t="shared" ref="O17:O28" si="1">IF(O$12="yes",AE17,1)</f>
        <v>3.0615572354211658</v>
      </c>
      <c r="P17"/>
      <c r="Q17" s="461" t="s">
        <v>513</v>
      </c>
      <c r="R17" s="508">
        <v>20</v>
      </c>
      <c r="S17" s="509">
        <v>20</v>
      </c>
      <c r="T17" s="509">
        <v>20</v>
      </c>
      <c r="U17" s="509">
        <f>'Degree data'!E31</f>
        <v>22</v>
      </c>
      <c r="V17" s="1078">
        <f>'Degree data'!F31</f>
        <v>44</v>
      </c>
      <c r="W17" s="509">
        <f>'Degree data'!G31</f>
        <v>27</v>
      </c>
      <c r="X17" s="1637">
        <f>'Degree data'!H31</f>
        <v>33</v>
      </c>
      <c r="Y17" s="1078">
        <f>3*'What If Data'!N25</f>
        <v>0</v>
      </c>
      <c r="AA17" s="1427" t="s">
        <v>513</v>
      </c>
      <c r="AB17" s="1428">
        <f>Weights!B7</f>
        <v>0.73998173037856396</v>
      </c>
      <c r="AC17" s="1428">
        <f>Weights!C7</f>
        <v>1.4284719010994193</v>
      </c>
      <c r="AD17" s="1428">
        <f>Weights!D7</f>
        <v>2.9940236651900212</v>
      </c>
      <c r="AE17" s="1428">
        <f>Weights!E7</f>
        <v>3.0615572354211658</v>
      </c>
      <c r="AF17" s="1428">
        <f>Weights!F7</f>
        <v>0</v>
      </c>
      <c r="AG17" s="1428">
        <f>Weights!G7</f>
        <v>0</v>
      </c>
    </row>
    <row r="18" spans="1:39">
      <c r="A18" s="461" t="s">
        <v>6</v>
      </c>
      <c r="B18" s="435">
        <f t="shared" si="0"/>
        <v>1421562.2614756781</v>
      </c>
      <c r="C18" s="435">
        <f t="shared" ref="C18:C34" si="2">C43*C$9</f>
        <v>1339328.5270443242</v>
      </c>
      <c r="D18" s="435">
        <f t="shared" ref="D18:D28" si="3">D43*C$9</f>
        <v>1256326.5801639303</v>
      </c>
      <c r="F18" s="461" t="s">
        <v>6</v>
      </c>
      <c r="G18" s="523">
        <f t="shared" ref="G18:G28" si="4">(K18+K43+K66)/(K$35+K$60+K$83)</f>
        <v>5.7764890883337472E-2</v>
      </c>
      <c r="H18" s="523">
        <f t="shared" ref="H18:H28" si="5">(L18+L43+L66)/(L$35+L$60+L$83)</f>
        <v>5.5800771055637306E-2</v>
      </c>
      <c r="I18" s="523">
        <f t="shared" ref="I18:I28" si="6">(M18+M43+M66)/(M$35+M$60+M$83)</f>
        <v>5.3569012542448419E-2</v>
      </c>
      <c r="J18" s="186"/>
      <c r="K18" s="435">
        <f>O18*(T18+U18+V18)+'Interdisciplinary Graduate'!B13</f>
        <v>52.397326666666658</v>
      </c>
      <c r="L18" s="435">
        <f>O18*(U18+V18+W18)+'Interdisciplinary Graduate'!C13</f>
        <v>38.107146666666658</v>
      </c>
      <c r="M18" s="435">
        <f>O18*(V18+W18+X18+Y18)+'Interdisciplinary Graduate'!D13</f>
        <v>47.633933333333324</v>
      </c>
      <c r="O18" s="926">
        <f t="shared" si="1"/>
        <v>4.7633933333333323</v>
      </c>
      <c r="P18"/>
      <c r="Q18" s="461" t="s">
        <v>6</v>
      </c>
      <c r="R18" s="508">
        <v>2</v>
      </c>
      <c r="S18" s="509">
        <v>4</v>
      </c>
      <c r="T18" s="509">
        <v>4</v>
      </c>
      <c r="U18" s="509">
        <f>'Degree data'!E32</f>
        <v>1</v>
      </c>
      <c r="V18" s="1078">
        <f>'Degree data'!F32</f>
        <v>6</v>
      </c>
      <c r="W18" s="509">
        <f>'Degree data'!G32</f>
        <v>1</v>
      </c>
      <c r="X18" s="1637">
        <f>'Degree data'!H32</f>
        <v>3</v>
      </c>
      <c r="Y18" s="1078">
        <f>3*'What If Data'!N26</f>
        <v>0</v>
      </c>
      <c r="AA18" s="1427" t="s">
        <v>6</v>
      </c>
      <c r="AB18" s="1428">
        <f>Weights!B8</f>
        <v>0.6243257014939112</v>
      </c>
      <c r="AC18" s="1428">
        <f>Weights!C8</f>
        <v>1.0336138423339543</v>
      </c>
      <c r="AD18" s="1428">
        <f>Weights!D8</f>
        <v>1.6370418041804178</v>
      </c>
      <c r="AE18" s="1428">
        <f>Weights!E8</f>
        <v>4.7633933333333323</v>
      </c>
      <c r="AF18" s="1428">
        <f>Weights!F8</f>
        <v>0</v>
      </c>
      <c r="AG18" s="1428">
        <f>Weights!G8</f>
        <v>0</v>
      </c>
    </row>
    <row r="19" spans="1:39">
      <c r="A19" s="461" t="s">
        <v>8</v>
      </c>
      <c r="B19" s="435">
        <f t="shared" si="0"/>
        <v>1181017.661133104</v>
      </c>
      <c r="C19" s="435">
        <f t="shared" si="2"/>
        <v>1119532.069419991</v>
      </c>
      <c r="D19" s="435">
        <f t="shared" si="3"/>
        <v>1050041.6945641744</v>
      </c>
      <c r="F19" s="461" t="s">
        <v>8</v>
      </c>
      <c r="G19" s="523">
        <f t="shared" si="4"/>
        <v>5.6497751188503011E-2</v>
      </c>
      <c r="H19" s="523">
        <f t="shared" si="5"/>
        <v>5.476635697815263E-2</v>
      </c>
      <c r="I19" s="523">
        <f t="shared" si="6"/>
        <v>5.1485375360930549E-2</v>
      </c>
      <c r="J19" s="186"/>
      <c r="K19" s="435">
        <f>O19*(T19+U19+V19)+'Interdisciplinary Graduate'!B14</f>
        <v>206.46900000000002</v>
      </c>
      <c r="L19" s="435">
        <f>O19*(U19+V19+W19)+'Interdisciplinary Graduate'!C14</f>
        <v>191.17500000000004</v>
      </c>
      <c r="M19" s="435">
        <f>O19*(V19+W19+X19+Y19)+'Interdisciplinary Graduate'!D14</f>
        <v>168.23400000000004</v>
      </c>
      <c r="O19" s="926">
        <f t="shared" si="1"/>
        <v>2.5490000000000004</v>
      </c>
      <c r="P19"/>
      <c r="Q19" s="461" t="s">
        <v>8</v>
      </c>
      <c r="R19" s="508">
        <v>25</v>
      </c>
      <c r="S19" s="509">
        <v>16</v>
      </c>
      <c r="T19" s="509">
        <v>27</v>
      </c>
      <c r="U19" s="509">
        <f>'Degree data'!E33</f>
        <v>32</v>
      </c>
      <c r="V19" s="1078">
        <f>'Degree data'!F33</f>
        <v>22</v>
      </c>
      <c r="W19" s="509">
        <f>'Degree data'!G33</f>
        <v>21</v>
      </c>
      <c r="X19" s="1637">
        <f>'Degree data'!H33</f>
        <v>23</v>
      </c>
      <c r="Y19" s="1078">
        <f>3*'What If Data'!N27</f>
        <v>0</v>
      </c>
      <c r="AA19" s="1427" t="s">
        <v>8</v>
      </c>
      <c r="AB19" s="1428">
        <f>Weights!B9</f>
        <v>0.78234378161025708</v>
      </c>
      <c r="AC19" s="1428">
        <f>Weights!C9</f>
        <v>0.93500000000000005</v>
      </c>
      <c r="AD19" s="1428">
        <f>Weights!D9</f>
        <v>1.46</v>
      </c>
      <c r="AE19" s="1428">
        <f>Weights!E9</f>
        <v>2.5490000000000004</v>
      </c>
      <c r="AF19" s="1428">
        <f>Weights!F9</f>
        <v>0</v>
      </c>
      <c r="AG19" s="1428">
        <f>Weights!G9</f>
        <v>0</v>
      </c>
    </row>
    <row r="20" spans="1:39">
      <c r="A20" s="463" t="s">
        <v>2</v>
      </c>
      <c r="B20" s="443">
        <f t="shared" si="0"/>
        <v>1435008.5200503182</v>
      </c>
      <c r="C20" s="443">
        <f t="shared" si="2"/>
        <v>1451486.7208145086</v>
      </c>
      <c r="D20" s="443">
        <f t="shared" si="3"/>
        <v>1499725.3539558637</v>
      </c>
      <c r="F20" s="463" t="s">
        <v>2</v>
      </c>
      <c r="G20" s="523">
        <f t="shared" si="4"/>
        <v>5.4013183934951782E-2</v>
      </c>
      <c r="H20" s="523">
        <f t="shared" si="5"/>
        <v>5.5529863017708889E-2</v>
      </c>
      <c r="I20" s="523">
        <f t="shared" si="6"/>
        <v>5.9552290638235271E-2</v>
      </c>
      <c r="J20" s="186"/>
      <c r="K20" s="435">
        <f>O20*(T20+U20+V20)+'Interdisciplinary Graduate'!B15</f>
        <v>89.21469411999999</v>
      </c>
      <c r="L20" s="435">
        <f>O20*(U20+V20+W20)+'Interdisciplinary Graduate'!C15</f>
        <v>94.312592160000008</v>
      </c>
      <c r="M20" s="435">
        <f>O20*(V20+W20+X20+Y20)+'Interdisciplinary Graduate'!D15</f>
        <v>96.861592160000001</v>
      </c>
      <c r="O20" s="926">
        <f t="shared" si="1"/>
        <v>2.5489999999999999</v>
      </c>
      <c r="P20"/>
      <c r="Q20" s="463" t="s">
        <v>2</v>
      </c>
      <c r="R20" s="508">
        <v>10</v>
      </c>
      <c r="S20" s="509">
        <v>6</v>
      </c>
      <c r="T20" s="509">
        <v>11</v>
      </c>
      <c r="U20" s="509">
        <f>'Degree data'!E34</f>
        <v>11</v>
      </c>
      <c r="V20" s="1078">
        <f>'Degree data'!F34</f>
        <v>10</v>
      </c>
      <c r="W20" s="509">
        <f>'Degree data'!G34</f>
        <v>12</v>
      </c>
      <c r="X20" s="1637">
        <f>'Degree data'!H34</f>
        <v>12</v>
      </c>
      <c r="Y20" s="1078">
        <f>3*'What If Data'!N28</f>
        <v>0</v>
      </c>
      <c r="AA20" s="1429" t="s">
        <v>2</v>
      </c>
      <c r="AB20" s="1428">
        <f>Weights!B10</f>
        <v>0.72755601656757785</v>
      </c>
      <c r="AC20" s="1428">
        <f>Weights!C10</f>
        <v>1.4279999999999999</v>
      </c>
      <c r="AD20" s="1428">
        <f>Weights!D10</f>
        <v>2.7650000000000006</v>
      </c>
      <c r="AE20" s="1428">
        <f>Weights!E10</f>
        <v>2.5489999999999999</v>
      </c>
      <c r="AF20" s="1428">
        <f>Weights!F10</f>
        <v>0</v>
      </c>
      <c r="AG20" s="1428">
        <f>Weights!G10</f>
        <v>0</v>
      </c>
    </row>
    <row r="21" spans="1:39" s="10" customFormat="1">
      <c r="A21" s="461" t="s">
        <v>10</v>
      </c>
      <c r="B21" s="435">
        <f t="shared" si="0"/>
        <v>3514030.0706372792</v>
      </c>
      <c r="C21" s="435">
        <f t="shared" si="2"/>
        <v>3506509.9361933409</v>
      </c>
      <c r="D21" s="435">
        <f t="shared" si="3"/>
        <v>3460974.0884980778</v>
      </c>
      <c r="E21" s="42"/>
      <c r="F21" s="461" t="s">
        <v>10</v>
      </c>
      <c r="G21" s="523">
        <f t="shared" si="4"/>
        <v>7.9186502200408723E-2</v>
      </c>
      <c r="H21" s="523">
        <f t="shared" si="5"/>
        <v>7.7970607654476165E-2</v>
      </c>
      <c r="I21" s="523">
        <f t="shared" si="6"/>
        <v>7.408758554247373E-2</v>
      </c>
      <c r="J21" s="186"/>
      <c r="K21" s="435">
        <f>O21*(T21+U21+V21)+'Interdisciplinary Graduate'!B16</f>
        <v>41.663761920000006</v>
      </c>
      <c r="L21" s="435">
        <f>O21*(U21+V21+W21)+'Interdisciplinary Graduate'!C16</f>
        <v>47.615761920000004</v>
      </c>
      <c r="M21" s="435">
        <f>O21*(V21+W21+X21+Y21)+'Interdisciplinary Graduate'!D16</f>
        <v>56.54364288</v>
      </c>
      <c r="N21"/>
      <c r="O21" s="926">
        <f t="shared" si="1"/>
        <v>2.976</v>
      </c>
      <c r="P21"/>
      <c r="Q21" s="461" t="s">
        <v>10</v>
      </c>
      <c r="R21" s="508">
        <v>7</v>
      </c>
      <c r="S21" s="509">
        <v>4</v>
      </c>
      <c r="T21" s="509">
        <v>4</v>
      </c>
      <c r="U21" s="509">
        <f>'Degree data'!E35</f>
        <v>3</v>
      </c>
      <c r="V21" s="1078">
        <f>'Degree data'!F35</f>
        <v>5</v>
      </c>
      <c r="W21" s="509">
        <f>'Degree data'!G35</f>
        <v>6</v>
      </c>
      <c r="X21" s="1637">
        <f>'Degree data'!H35</f>
        <v>5</v>
      </c>
      <c r="Y21" s="1078">
        <f>3*'What If Data'!N29</f>
        <v>0</v>
      </c>
      <c r="AA21" s="1427" t="s">
        <v>10</v>
      </c>
      <c r="AB21" s="1428">
        <f>Weights!B11</f>
        <v>0</v>
      </c>
      <c r="AC21" s="1428">
        <f>Weights!C11</f>
        <v>0</v>
      </c>
      <c r="AD21" s="1428">
        <f>Weights!D11</f>
        <v>2.2839999999999998</v>
      </c>
      <c r="AE21" s="1428">
        <f>Weights!E11</f>
        <v>2.976</v>
      </c>
      <c r="AF21" s="1428">
        <f>Weights!F11</f>
        <v>9.4342542433612468</v>
      </c>
      <c r="AG21" s="1428">
        <f>Weights!G11</f>
        <v>0</v>
      </c>
    </row>
    <row r="22" spans="1:39">
      <c r="A22" s="461" t="s">
        <v>4</v>
      </c>
      <c r="B22" s="435">
        <f t="shared" si="0"/>
        <v>3285482.6435171068</v>
      </c>
      <c r="C22" s="435">
        <f t="shared" si="2"/>
        <v>3345971.1045855517</v>
      </c>
      <c r="D22" s="435">
        <f t="shared" si="3"/>
        <v>3481217.6384611046</v>
      </c>
      <c r="F22" s="461" t="s">
        <v>4</v>
      </c>
      <c r="G22" s="523">
        <f t="shared" si="4"/>
        <v>8.4050774446691179E-2</v>
      </c>
      <c r="H22" s="523">
        <f t="shared" si="5"/>
        <v>8.8878475211983651E-2</v>
      </c>
      <c r="I22" s="523">
        <f t="shared" si="6"/>
        <v>9.6846175489081837E-2</v>
      </c>
      <c r="J22" s="186"/>
      <c r="K22" s="435">
        <f>O22*(T22+U22+V22)+'Interdisciplinary Graduate'!B17</f>
        <v>395.80788095999998</v>
      </c>
      <c r="L22" s="435">
        <f>O22*(U22+V22+W22)+'Interdisciplinary Graduate'!C17</f>
        <v>461.27976192</v>
      </c>
      <c r="M22" s="435">
        <f>O22*(V22+W22+X22+Y22)+'Interdisciplinary Graduate'!D17</f>
        <v>508.89564288000003</v>
      </c>
      <c r="O22" s="926">
        <f t="shared" si="1"/>
        <v>2.976</v>
      </c>
      <c r="P22"/>
      <c r="Q22" s="461" t="s">
        <v>4</v>
      </c>
      <c r="R22" s="508">
        <v>42</v>
      </c>
      <c r="S22" s="509">
        <v>29</v>
      </c>
      <c r="T22" s="509">
        <v>37</v>
      </c>
      <c r="U22" s="509">
        <f>'Degree data'!E36</f>
        <v>40</v>
      </c>
      <c r="V22" s="1078">
        <f>'Degree data'!F36</f>
        <v>55</v>
      </c>
      <c r="W22" s="509">
        <f>'Degree data'!G36</f>
        <v>58</v>
      </c>
      <c r="X22" s="1637">
        <f>'Degree data'!H36</f>
        <v>55</v>
      </c>
      <c r="Y22" s="1078">
        <f>3*'What If Data'!N30</f>
        <v>0</v>
      </c>
      <c r="AA22" s="1427" t="s">
        <v>4</v>
      </c>
      <c r="AB22" s="1428">
        <f>Weights!B12</f>
        <v>0.78002646834903766</v>
      </c>
      <c r="AC22" s="1428">
        <f>Weights!C12</f>
        <v>1.1521434672740865</v>
      </c>
      <c r="AD22" s="1428">
        <f>Weights!D12</f>
        <v>2.6349949799196795</v>
      </c>
      <c r="AE22" s="1428">
        <f>Weights!E12</f>
        <v>2.976</v>
      </c>
      <c r="AF22" s="1428">
        <f>Weights!F12</f>
        <v>0</v>
      </c>
      <c r="AG22" s="1428">
        <f>Weights!G12</f>
        <v>0</v>
      </c>
    </row>
    <row r="23" spans="1:39">
      <c r="A23" s="461" t="s">
        <v>14</v>
      </c>
      <c r="B23" s="435">
        <f t="shared" si="0"/>
        <v>409774.25855525624</v>
      </c>
      <c r="C23" s="435">
        <f t="shared" si="2"/>
        <v>406874.15169777471</v>
      </c>
      <c r="D23" s="435">
        <f t="shared" si="3"/>
        <v>385651.70690689521</v>
      </c>
      <c r="F23" s="461" t="s">
        <v>14</v>
      </c>
      <c r="G23" s="523">
        <f t="shared" si="4"/>
        <v>5.3391773395943115E-3</v>
      </c>
      <c r="H23" s="523">
        <f t="shared" si="5"/>
        <v>5.4786621458271312E-3</v>
      </c>
      <c r="I23" s="523">
        <f t="shared" si="6"/>
        <v>5.1173058610940736E-3</v>
      </c>
      <c r="J23" s="186"/>
      <c r="K23" s="435">
        <f>'Interdisciplinary Graduate'!B18</f>
        <v>5.7437459523920644</v>
      </c>
      <c r="L23" s="435">
        <f>'Interdisciplinary Graduate'!C18</f>
        <v>5.7437459523920644</v>
      </c>
      <c r="M23" s="435">
        <f>'Interdisciplinary Graduate'!D18</f>
        <v>4.5949967619136514</v>
      </c>
      <c r="O23" s="926">
        <f t="shared" si="1"/>
        <v>2.8712987164527424</v>
      </c>
      <c r="P23"/>
      <c r="Q23" s="461" t="s">
        <v>14</v>
      </c>
      <c r="R23" s="508">
        <v>20</v>
      </c>
      <c r="S23" s="509">
        <v>19</v>
      </c>
      <c r="T23" s="509">
        <v>15</v>
      </c>
      <c r="U23" s="509">
        <f>'Degree data'!E37</f>
        <v>16</v>
      </c>
      <c r="V23" s="1078">
        <f>'Degree data'!F37</f>
        <v>13</v>
      </c>
      <c r="W23" s="509">
        <f>'Degree data'!G37</f>
        <v>14</v>
      </c>
      <c r="X23" s="1637">
        <f>'Degree data'!H37</f>
        <v>13</v>
      </c>
      <c r="Y23" s="1078">
        <f>3*'What If Data'!N31</f>
        <v>0</v>
      </c>
      <c r="AA23" s="1427" t="s">
        <v>14</v>
      </c>
      <c r="AB23" s="1428">
        <f>Weights!B13</f>
        <v>0</v>
      </c>
      <c r="AC23" s="1428">
        <f>Weights!C13</f>
        <v>0</v>
      </c>
      <c r="AD23" s="1428">
        <f>Weights!D13</f>
        <v>2.6911358936484491</v>
      </c>
      <c r="AE23" s="1428">
        <f>Weights!E13</f>
        <v>2.8712987164527424</v>
      </c>
      <c r="AF23" s="1428">
        <f>Weights!F13</f>
        <v>0</v>
      </c>
      <c r="AG23" s="1428">
        <f>Weights!G13</f>
        <v>0</v>
      </c>
    </row>
    <row r="24" spans="1:39">
      <c r="A24" s="463" t="s">
        <v>17</v>
      </c>
      <c r="B24" s="443">
        <f t="shared" si="0"/>
        <v>1945660.9273088574</v>
      </c>
      <c r="C24" s="443">
        <f t="shared" si="2"/>
        <v>1913648.9792676314</v>
      </c>
      <c r="D24" s="443">
        <f t="shared" si="3"/>
        <v>1938352.9496536546</v>
      </c>
      <c r="F24" s="463" t="s">
        <v>17</v>
      </c>
      <c r="G24" s="523">
        <f t="shared" si="4"/>
        <v>6.9209743989463599E-2</v>
      </c>
      <c r="H24" s="523">
        <f t="shared" si="5"/>
        <v>6.6143521307948011E-2</v>
      </c>
      <c r="I24" s="523">
        <f t="shared" si="6"/>
        <v>6.5447795004492743E-2</v>
      </c>
      <c r="J24" s="186"/>
      <c r="K24" s="435">
        <f>O24*(T24+U24+V24)+'Interdisciplinary Graduate'!B19</f>
        <v>38.993464424320827</v>
      </c>
      <c r="L24" s="435">
        <f>O24*(U24+V24+W24)+'Interdisciplinary Graduate'!C19</f>
        <v>42.242919793014231</v>
      </c>
      <c r="M24" s="435">
        <f>O24*(V24+W24+X24+Y24)+'Interdisciplinary Graduate'!D19</f>
        <v>48.741830530401032</v>
      </c>
      <c r="O24" s="926">
        <f t="shared" si="1"/>
        <v>3.2494553686934022</v>
      </c>
      <c r="P24"/>
      <c r="Q24" s="463" t="s">
        <v>17</v>
      </c>
      <c r="R24" s="508">
        <v>2</v>
      </c>
      <c r="S24" s="509">
        <v>1</v>
      </c>
      <c r="T24" s="509">
        <v>4</v>
      </c>
      <c r="U24" s="509">
        <f>'Degree data'!E38</f>
        <v>4</v>
      </c>
      <c r="V24" s="1078">
        <f>'Degree data'!F38</f>
        <v>4</v>
      </c>
      <c r="W24" s="509">
        <f>'Degree data'!G38</f>
        <v>5</v>
      </c>
      <c r="X24" s="1637">
        <f>'Degree data'!H38</f>
        <v>6</v>
      </c>
      <c r="Y24" s="1078">
        <f>3*'What If Data'!N32</f>
        <v>0</v>
      </c>
      <c r="AA24" s="1429" t="s">
        <v>17</v>
      </c>
      <c r="AB24" s="1428">
        <f>Weights!B14</f>
        <v>0.62171653344405653</v>
      </c>
      <c r="AC24" s="1428">
        <f>Weights!C14</f>
        <v>0.95550908246379429</v>
      </c>
      <c r="AD24" s="1428">
        <f>Weights!D14</f>
        <v>2.0860803827751191</v>
      </c>
      <c r="AE24" s="1428">
        <f>Weights!E14</f>
        <v>3.2494553686934022</v>
      </c>
      <c r="AF24" s="1428">
        <f>Weights!F14</f>
        <v>0</v>
      </c>
      <c r="AG24" s="1428">
        <f>Weights!G14</f>
        <v>0</v>
      </c>
    </row>
    <row r="25" spans="1:39">
      <c r="A25" s="461" t="s">
        <v>316</v>
      </c>
      <c r="B25" s="435">
        <f t="shared" si="0"/>
        <v>2383236.8334187106</v>
      </c>
      <c r="C25" s="435">
        <f t="shared" si="2"/>
        <v>2336279.3858591495</v>
      </c>
      <c r="D25" s="435">
        <f t="shared" si="3"/>
        <v>2378271.0074660243</v>
      </c>
      <c r="F25" s="461" t="s">
        <v>316</v>
      </c>
      <c r="G25" s="523">
        <f t="shared" si="4"/>
        <v>5.2488678168553349E-2</v>
      </c>
      <c r="H25" s="523">
        <f t="shared" si="5"/>
        <v>4.9634131655748231E-2</v>
      </c>
      <c r="I25" s="523">
        <f t="shared" si="6"/>
        <v>4.8079219901834627E-2</v>
      </c>
      <c r="J25" s="186"/>
      <c r="K25" s="435">
        <f>O25*(T25+U25+V25)+'Interdisciplinary Graduate'!B20</f>
        <v>0</v>
      </c>
      <c r="L25" s="435">
        <f>O25*(U25+V25+W25)+'Interdisciplinary Graduate'!C20</f>
        <v>0</v>
      </c>
      <c r="M25" s="435">
        <f>O25*(V25+W25+X25+Y25)+'Interdisciplinary Graduate'!D20</f>
        <v>0</v>
      </c>
      <c r="O25" s="926">
        <f t="shared" si="1"/>
        <v>0</v>
      </c>
      <c r="P25"/>
      <c r="Q25" s="461" t="s">
        <v>316</v>
      </c>
      <c r="R25" s="508">
        <v>0</v>
      </c>
      <c r="S25" s="509">
        <v>0</v>
      </c>
      <c r="T25" s="509">
        <v>0</v>
      </c>
      <c r="U25" s="432">
        <f>'Degree data'!E39</f>
        <v>0</v>
      </c>
      <c r="V25" s="1078">
        <f>'Degree data'!F39</f>
        <v>0</v>
      </c>
      <c r="W25" s="509">
        <f>'Degree data'!G39</f>
        <v>0</v>
      </c>
      <c r="X25" s="1637">
        <f>'Degree data'!H39</f>
        <v>0</v>
      </c>
      <c r="Y25" s="1078">
        <f>3*'What If Data'!N33</f>
        <v>0</v>
      </c>
      <c r="AA25" s="1427" t="s">
        <v>316</v>
      </c>
      <c r="AB25" s="1428">
        <f>Weights!B15</f>
        <v>0</v>
      </c>
      <c r="AC25" s="1428">
        <f>Weights!C15</f>
        <v>0</v>
      </c>
      <c r="AD25" s="1428">
        <f>Weights!D15</f>
        <v>2.2839999999999998</v>
      </c>
      <c r="AE25" s="1428">
        <f>Weights!E15</f>
        <v>0</v>
      </c>
      <c r="AF25" s="1428">
        <f>Weights!F15</f>
        <v>14.151</v>
      </c>
      <c r="AG25" s="1428">
        <f>Weights!G15</f>
        <v>0</v>
      </c>
    </row>
    <row r="26" spans="1:39">
      <c r="A26" s="461" t="s">
        <v>7</v>
      </c>
      <c r="B26" s="435">
        <f t="shared" si="0"/>
        <v>9206698.4819810782</v>
      </c>
      <c r="C26" s="435">
        <f t="shared" si="2"/>
        <v>9664604.8809526768</v>
      </c>
      <c r="D26" s="435">
        <f t="shared" si="3"/>
        <v>9818002.0532403793</v>
      </c>
      <c r="F26" s="461" t="s">
        <v>7</v>
      </c>
      <c r="G26" s="523">
        <f t="shared" si="4"/>
        <v>0.29797776029803125</v>
      </c>
      <c r="H26" s="523">
        <f t="shared" si="5"/>
        <v>0.31831576389095656</v>
      </c>
      <c r="I26" s="523">
        <f t="shared" si="6"/>
        <v>0.32849291456819141</v>
      </c>
      <c r="J26" s="186"/>
      <c r="K26" s="435">
        <f>O26*(T26+U26+V26)+'Interdisciplinary Graduate'!B21</f>
        <v>544.60776192000014</v>
      </c>
      <c r="L26" s="435">
        <f>O26*(U26+V26+W26)+'Interdisciplinary Graduate'!C21</f>
        <v>589.24764288000017</v>
      </c>
      <c r="M26" s="435">
        <f>O26*(V26+W26+X26+Y26)+'Interdisciplinary Graduate'!D21</f>
        <v>693.40752384000029</v>
      </c>
      <c r="O26" s="926">
        <f t="shared" si="1"/>
        <v>2.9760000000000009</v>
      </c>
      <c r="P26"/>
      <c r="Q26" s="461" t="s">
        <v>7</v>
      </c>
      <c r="R26" s="508">
        <v>60</v>
      </c>
      <c r="S26" s="509">
        <v>67</v>
      </c>
      <c r="T26" s="509">
        <v>60</v>
      </c>
      <c r="U26" s="509">
        <f>'Degree data'!E40</f>
        <v>46</v>
      </c>
      <c r="V26" s="1078">
        <f>'Degree data'!F40</f>
        <v>75</v>
      </c>
      <c r="W26" s="509">
        <f>'Degree data'!G40</f>
        <v>74</v>
      </c>
      <c r="X26" s="1637">
        <f>'Degree data'!H40</f>
        <v>80</v>
      </c>
      <c r="Y26" s="1078">
        <f>3*'What If Data'!N34</f>
        <v>0</v>
      </c>
      <c r="AA26" s="1427" t="s">
        <v>7</v>
      </c>
      <c r="AB26" s="1428">
        <f>Weights!B16</f>
        <v>0.89997653137823164</v>
      </c>
      <c r="AC26" s="1428">
        <f>Weights!C16</f>
        <v>1.3870545339251739</v>
      </c>
      <c r="AD26" s="1428">
        <f>Weights!D16</f>
        <v>2.5786363770904241</v>
      </c>
      <c r="AE26" s="1428">
        <f>Weights!E16</f>
        <v>2.9760000000000009</v>
      </c>
      <c r="AF26" s="1428">
        <f>Weights!F16</f>
        <v>0</v>
      </c>
      <c r="AG26" s="1428">
        <f>Weights!G16</f>
        <v>0</v>
      </c>
      <c r="AI26" s="1"/>
      <c r="AJ26" s="966"/>
      <c r="AK26" s="966"/>
      <c r="AL26" s="966"/>
      <c r="AM26" s="966"/>
    </row>
    <row r="27" spans="1:39">
      <c r="A27" s="461" t="s">
        <v>9</v>
      </c>
      <c r="B27" s="435">
        <f t="shared" si="0"/>
        <v>2040770.3503126372</v>
      </c>
      <c r="C27" s="435">
        <f t="shared" si="2"/>
        <v>2068138.5261532529</v>
      </c>
      <c r="D27" s="435">
        <f t="shared" si="3"/>
        <v>2078789.729803853</v>
      </c>
      <c r="F27" s="461" t="s">
        <v>9</v>
      </c>
      <c r="G27" s="523">
        <f t="shared" si="4"/>
        <v>7.37589121167158E-2</v>
      </c>
      <c r="H27" s="523">
        <f t="shared" si="5"/>
        <v>7.2622642827768799E-2</v>
      </c>
      <c r="I27" s="523">
        <f t="shared" si="6"/>
        <v>7.0011832382377431E-2</v>
      </c>
      <c r="J27" s="186"/>
      <c r="K27" s="435">
        <f>O27*(T27+U27+V27)+'Interdisciplinary Graduate'!B22</f>
        <v>187.02274954592912</v>
      </c>
      <c r="L27" s="435">
        <f>O27*(U27+V27+W27)+'Interdisciplinary Graduate'!C22</f>
        <v>169.21103649493517</v>
      </c>
      <c r="M27" s="435">
        <f>O27*(V27+W27+X27+Y27)+'Interdisciplinary Graduate'!D22</f>
        <v>151.39920469918758</v>
      </c>
      <c r="O27" s="926">
        <f t="shared" si="1"/>
        <v>2.9686188418323249</v>
      </c>
      <c r="P27"/>
      <c r="Q27" s="461" t="s">
        <v>9</v>
      </c>
      <c r="R27" s="508">
        <v>18</v>
      </c>
      <c r="S27" s="509">
        <v>14</v>
      </c>
      <c r="T27" s="509">
        <v>16</v>
      </c>
      <c r="U27" s="509">
        <f>'Degree data'!E41</f>
        <v>22</v>
      </c>
      <c r="V27" s="1078">
        <f>'Degree data'!F41</f>
        <v>23</v>
      </c>
      <c r="W27" s="509">
        <f>'Degree data'!G41</f>
        <v>10</v>
      </c>
      <c r="X27" s="1637">
        <f>'Degree data'!H41</f>
        <v>15</v>
      </c>
      <c r="Y27" s="1078">
        <f>3*'What If Data'!N35</f>
        <v>0</v>
      </c>
      <c r="AA27" s="1427" t="s">
        <v>9</v>
      </c>
      <c r="AB27" s="1428">
        <f>Weights!B17</f>
        <v>0.65339697659263052</v>
      </c>
      <c r="AC27" s="1428">
        <f>Weights!C17</f>
        <v>0.95123990151385873</v>
      </c>
      <c r="AD27" s="1428">
        <f>Weights!D17</f>
        <v>2.3896966800804829</v>
      </c>
      <c r="AE27" s="1428">
        <f>Weights!E17</f>
        <v>2.9686188418323249</v>
      </c>
      <c r="AF27" s="1428">
        <f>Weights!F17</f>
        <v>0</v>
      </c>
      <c r="AG27" s="1428">
        <f>Weights!G17</f>
        <v>0</v>
      </c>
      <c r="AI27" s="1"/>
      <c r="AJ27" s="1768"/>
      <c r="AK27" s="1768"/>
      <c r="AL27" s="1768"/>
      <c r="AM27" s="1768"/>
    </row>
    <row r="28" spans="1:39">
      <c r="A28" s="463" t="s">
        <v>5</v>
      </c>
      <c r="B28" s="443">
        <f t="shared" si="0"/>
        <v>1591445.6061229955</v>
      </c>
      <c r="C28" s="443">
        <f t="shared" si="2"/>
        <v>1514587.8646120157</v>
      </c>
      <c r="D28" s="443">
        <f t="shared" si="3"/>
        <v>1401160.5347468075</v>
      </c>
      <c r="F28" s="463" t="s">
        <v>5</v>
      </c>
      <c r="G28" s="523">
        <f t="shared" si="4"/>
        <v>5.6117300269143709E-2</v>
      </c>
      <c r="H28" s="523">
        <f t="shared" si="5"/>
        <v>5.2686401905085223E-2</v>
      </c>
      <c r="I28" s="523">
        <f t="shared" si="6"/>
        <v>4.8111753078049276E-2</v>
      </c>
      <c r="J28" s="186"/>
      <c r="K28" s="435">
        <f>O28*(T28+U28+V28)+'Interdisciplinary Graduate'!B23</f>
        <v>145.55179745454546</v>
      </c>
      <c r="L28" s="435">
        <f>O28*(U28+V28+W28)+'Interdisciplinary Graduate'!C23</f>
        <v>148.52201436363637</v>
      </c>
      <c r="M28" s="435">
        <f>O28*(V28+W28+X28+Y28)+'Interdisciplinary Graduate'!D23</f>
        <v>145.55155981818183</v>
      </c>
      <c r="O28" s="926">
        <f t="shared" si="1"/>
        <v>2.9704545454545457</v>
      </c>
      <c r="P28"/>
      <c r="Q28" s="463" t="s">
        <v>5</v>
      </c>
      <c r="R28" s="508">
        <v>7</v>
      </c>
      <c r="S28" s="509">
        <v>16</v>
      </c>
      <c r="T28" s="509">
        <v>15</v>
      </c>
      <c r="U28" s="509">
        <f>'Degree data'!E42</f>
        <v>15</v>
      </c>
      <c r="V28" s="1078">
        <f>'Degree data'!F42</f>
        <v>15</v>
      </c>
      <c r="W28" s="509">
        <f>'Degree data'!G42</f>
        <v>14</v>
      </c>
      <c r="X28" s="1637">
        <f>'Degree data'!H42</f>
        <v>14</v>
      </c>
      <c r="Y28" s="1078">
        <f>3*'What If Data'!N36</f>
        <v>0</v>
      </c>
      <c r="AA28" s="1429" t="s">
        <v>5</v>
      </c>
      <c r="AB28" s="1428">
        <f>Weights!B18</f>
        <v>0.65821180776420729</v>
      </c>
      <c r="AC28" s="1428">
        <f>Weights!C18</f>
        <v>1.4161844073190133</v>
      </c>
      <c r="AD28" s="1428">
        <f>Weights!D18</f>
        <v>2.907463203463204</v>
      </c>
      <c r="AE28" s="1428">
        <f>Weights!E18</f>
        <v>2.9704545454545457</v>
      </c>
      <c r="AF28" s="1428">
        <f>Weights!F18</f>
        <v>0</v>
      </c>
      <c r="AG28" s="1428">
        <f>Weights!G18</f>
        <v>0</v>
      </c>
    </row>
    <row r="29" spans="1:39">
      <c r="A29" s="461"/>
      <c r="B29" s="434"/>
      <c r="C29" s="434"/>
      <c r="D29" s="434"/>
      <c r="F29" s="461"/>
      <c r="G29" s="523"/>
      <c r="H29" s="470"/>
      <c r="I29" s="523"/>
      <c r="J29" s="186"/>
      <c r="K29" s="435"/>
      <c r="L29" s="462"/>
      <c r="M29" s="435"/>
      <c r="O29" s="968"/>
      <c r="P29"/>
      <c r="Q29" s="461"/>
      <c r="R29" s="505"/>
      <c r="S29" s="432"/>
      <c r="T29" s="432"/>
      <c r="U29" s="148"/>
      <c r="V29" s="432"/>
      <c r="W29" s="432"/>
      <c r="X29" s="432"/>
      <c r="Y29" s="432"/>
      <c r="AA29" s="1427"/>
      <c r="AB29" s="1"/>
      <c r="AC29" s="1"/>
      <c r="AD29" s="1"/>
      <c r="AE29" s="1"/>
      <c r="AF29" s="1"/>
      <c r="AG29" s="1"/>
    </row>
    <row r="30" spans="1:39">
      <c r="A30" s="461" t="s">
        <v>516</v>
      </c>
      <c r="B30" s="434">
        <f>G30*C$9</f>
        <v>0</v>
      </c>
      <c r="C30" s="434">
        <f t="shared" si="2"/>
        <v>0</v>
      </c>
      <c r="D30" s="434">
        <f>K30*C$9</f>
        <v>0</v>
      </c>
      <c r="F30" s="461" t="s">
        <v>516</v>
      </c>
      <c r="G30" s="523">
        <f t="shared" ref="G30:I34" si="7">(K30+K55+K78)/(K$35+K$60+K$83)</f>
        <v>0</v>
      </c>
      <c r="H30" s="523">
        <f t="shared" si="7"/>
        <v>0</v>
      </c>
      <c r="I30" s="523">
        <f t="shared" si="7"/>
        <v>0</v>
      </c>
      <c r="J30" s="186"/>
      <c r="K30" s="435">
        <f>O30*(T30+U30+V30)+'Interdisciplinary Graduate'!B25</f>
        <v>0</v>
      </c>
      <c r="L30" s="435">
        <f>O30*(U30+V30+W30)+'Interdisciplinary Graduate'!C25</f>
        <v>0</v>
      </c>
      <c r="M30" s="435">
        <f>O30*(V30+W30+X30+Y30)+'Interdisciplinary Graduate'!D25</f>
        <v>0</v>
      </c>
      <c r="O30" s="968"/>
      <c r="P30"/>
      <c r="Q30" s="461" t="s">
        <v>516</v>
      </c>
      <c r="R30" s="505"/>
      <c r="S30" s="432"/>
      <c r="T30" s="432"/>
      <c r="U30" s="148"/>
      <c r="V30" s="432"/>
      <c r="W30" s="432"/>
      <c r="X30" s="432"/>
      <c r="Y30" s="432"/>
      <c r="AA30" s="1427" t="s">
        <v>516</v>
      </c>
      <c r="AB30" s="1"/>
      <c r="AC30" s="1"/>
      <c r="AD30" s="1"/>
      <c r="AE30" s="1"/>
      <c r="AF30" s="1"/>
      <c r="AG30" s="1"/>
    </row>
    <row r="31" spans="1:39">
      <c r="A31" s="461" t="s">
        <v>537</v>
      </c>
      <c r="B31" s="434">
        <f>G31*C$9</f>
        <v>0</v>
      </c>
      <c r="C31" s="434">
        <f t="shared" si="2"/>
        <v>0</v>
      </c>
      <c r="D31" s="434">
        <f>K31*C$9</f>
        <v>0</v>
      </c>
      <c r="F31" s="461" t="s">
        <v>537</v>
      </c>
      <c r="G31" s="523">
        <f t="shared" si="7"/>
        <v>0</v>
      </c>
      <c r="H31" s="523">
        <f t="shared" si="7"/>
        <v>0</v>
      </c>
      <c r="I31" s="523">
        <f t="shared" si="7"/>
        <v>0</v>
      </c>
      <c r="J31" s="186"/>
      <c r="K31" s="435">
        <f>O31*(T31+U31+V31)+'Interdisciplinary Graduate'!B26</f>
        <v>0</v>
      </c>
      <c r="L31" s="435">
        <f>O31*(U31+V31+W31)+'Interdisciplinary Graduate'!C26</f>
        <v>0</v>
      </c>
      <c r="M31" s="435">
        <f>O31*(V31+W31+X31+Y31)+'Interdisciplinary Graduate'!D26</f>
        <v>0</v>
      </c>
      <c r="O31" s="968"/>
      <c r="P31"/>
      <c r="Q31" s="461" t="s">
        <v>537</v>
      </c>
      <c r="R31" s="505"/>
      <c r="S31" s="432"/>
      <c r="T31" s="432"/>
      <c r="U31" s="432"/>
      <c r="V31" s="432"/>
      <c r="W31" s="432"/>
      <c r="X31" s="432"/>
      <c r="Y31" s="432"/>
      <c r="AA31" s="1427" t="s">
        <v>537</v>
      </c>
      <c r="AB31" s="1"/>
      <c r="AC31" s="1"/>
      <c r="AD31" s="1"/>
      <c r="AE31" s="1"/>
      <c r="AF31" s="1"/>
      <c r="AG31" s="1"/>
    </row>
    <row r="32" spans="1:39">
      <c r="A32" s="463" t="s">
        <v>518</v>
      </c>
      <c r="B32" s="444">
        <f>G32*C$9</f>
        <v>0</v>
      </c>
      <c r="C32" s="444">
        <f t="shared" si="2"/>
        <v>0</v>
      </c>
      <c r="D32" s="444">
        <f>K32*C$9</f>
        <v>0</v>
      </c>
      <c r="F32" s="463" t="s">
        <v>518</v>
      </c>
      <c r="G32" s="523">
        <f t="shared" si="7"/>
        <v>0</v>
      </c>
      <c r="H32" s="523">
        <f t="shared" si="7"/>
        <v>0</v>
      </c>
      <c r="I32" s="523">
        <f t="shared" si="7"/>
        <v>0</v>
      </c>
      <c r="J32" s="186"/>
      <c r="K32" s="435">
        <f>O32*(T32+U32+V32)+'Interdisciplinary Graduate'!B27</f>
        <v>0</v>
      </c>
      <c r="L32" s="435">
        <f>O32*(U32+V32+W32)+'Interdisciplinary Graduate'!C27</f>
        <v>0</v>
      </c>
      <c r="M32" s="435">
        <f>O32*(V32+W32+X32+Y32)+'Interdisciplinary Graduate'!D27</f>
        <v>0</v>
      </c>
      <c r="O32" s="968"/>
      <c r="P32"/>
      <c r="Q32" s="463" t="s">
        <v>518</v>
      </c>
      <c r="R32" s="505"/>
      <c r="S32" s="432"/>
      <c r="T32" s="432"/>
      <c r="U32" s="432"/>
      <c r="V32" s="432"/>
      <c r="W32" s="432"/>
      <c r="X32" s="432"/>
      <c r="Y32" s="432"/>
      <c r="AA32" s="1429" t="s">
        <v>518</v>
      </c>
      <c r="AB32" s="1"/>
      <c r="AC32" s="1"/>
      <c r="AD32" s="1"/>
      <c r="AE32" s="1"/>
      <c r="AF32" s="1"/>
      <c r="AG32" s="1"/>
    </row>
    <row r="33" spans="1:33">
      <c r="A33" s="461" t="s">
        <v>536</v>
      </c>
      <c r="B33" s="434">
        <f>G33*C$9</f>
        <v>0</v>
      </c>
      <c r="C33" s="434">
        <f t="shared" si="2"/>
        <v>0</v>
      </c>
      <c r="D33" s="434">
        <f>K33*C$9</f>
        <v>0</v>
      </c>
      <c r="F33" s="461" t="s">
        <v>536</v>
      </c>
      <c r="G33" s="523">
        <f t="shared" si="7"/>
        <v>0</v>
      </c>
      <c r="H33" s="523">
        <f t="shared" si="7"/>
        <v>0</v>
      </c>
      <c r="I33" s="523">
        <f t="shared" si="7"/>
        <v>0</v>
      </c>
      <c r="J33" s="186"/>
      <c r="K33" s="435">
        <f>O33*(T33+U33+V33)+'Interdisciplinary Graduate'!B28</f>
        <v>0</v>
      </c>
      <c r="L33" s="435">
        <f>O33*(U33+V33+W33)+'Interdisciplinary Graduate'!C28</f>
        <v>0</v>
      </c>
      <c r="M33" s="435">
        <f>O33*(V33+W33+X33+Y33)+'Interdisciplinary Graduate'!D28</f>
        <v>0</v>
      </c>
      <c r="O33" s="968"/>
      <c r="P33"/>
      <c r="Q33" s="461" t="s">
        <v>536</v>
      </c>
      <c r="R33" s="505"/>
      <c r="S33" s="432"/>
      <c r="T33" s="432"/>
      <c r="U33" s="432"/>
      <c r="V33" s="432"/>
      <c r="W33" s="432"/>
      <c r="X33" s="432"/>
      <c r="Y33" s="432"/>
      <c r="AA33" s="1427" t="s">
        <v>536</v>
      </c>
      <c r="AB33" s="1"/>
      <c r="AC33" s="1"/>
      <c r="AD33" s="1"/>
      <c r="AE33" s="1"/>
      <c r="AF33" s="1"/>
      <c r="AG33" s="1"/>
    </row>
    <row r="34" spans="1:33">
      <c r="A34" s="467" t="s">
        <v>520</v>
      </c>
      <c r="B34" s="435">
        <f>G34*C$9</f>
        <v>0</v>
      </c>
      <c r="C34" s="435">
        <f t="shared" si="2"/>
        <v>0</v>
      </c>
      <c r="D34" s="435">
        <f>K34*C$9</f>
        <v>0</v>
      </c>
      <c r="F34" s="467" t="s">
        <v>520</v>
      </c>
      <c r="G34" s="523">
        <f t="shared" si="7"/>
        <v>0</v>
      </c>
      <c r="H34" s="523">
        <f t="shared" si="7"/>
        <v>0</v>
      </c>
      <c r="I34" s="523">
        <f t="shared" si="7"/>
        <v>0</v>
      </c>
      <c r="J34" s="186"/>
      <c r="K34" s="435">
        <f>O34*(T34+U34+V34)+'Interdisciplinary Graduate'!B29</f>
        <v>0</v>
      </c>
      <c r="L34" s="435">
        <f>O34*(U34+V34+W34)+'Interdisciplinary Graduate'!C29</f>
        <v>0</v>
      </c>
      <c r="M34" s="435">
        <f>O34*(V34+W34+X34+Y34)+'Interdisciplinary Graduate'!D29</f>
        <v>0</v>
      </c>
      <c r="O34" s="968"/>
      <c r="P34"/>
      <c r="Q34" s="527" t="s">
        <v>520</v>
      </c>
      <c r="R34" s="505"/>
      <c r="S34" s="432"/>
      <c r="T34" s="432"/>
      <c r="U34" s="505"/>
      <c r="V34" s="505"/>
      <c r="W34" s="505"/>
      <c r="X34" s="505"/>
      <c r="Y34" s="505"/>
      <c r="AA34" s="1430" t="s">
        <v>520</v>
      </c>
      <c r="AB34" s="1"/>
      <c r="AC34" s="1428"/>
      <c r="AD34" s="1"/>
      <c r="AE34" s="1"/>
      <c r="AF34" s="1"/>
      <c r="AG34" s="1"/>
    </row>
    <row r="35" spans="1:33">
      <c r="A35" s="468"/>
      <c r="B35" s="447">
        <f>SUM(B17:B34)</f>
        <v>31836914.980636444</v>
      </c>
      <c r="C35" s="447">
        <f>SUM(C17:C34)</f>
        <v>31836914.980636444</v>
      </c>
      <c r="D35" s="447">
        <f>SUM(D17:D34)</f>
        <v>31836914.980636451</v>
      </c>
      <c r="E35" s="331"/>
      <c r="F35" s="468"/>
      <c r="G35" s="471">
        <f>SUM(G17:G34)</f>
        <v>1</v>
      </c>
      <c r="H35" s="471">
        <f>(L35+L60+L83)/(L$35+L$60+L$83)</f>
        <v>1</v>
      </c>
      <c r="I35" s="471">
        <f>SUM(I17:I34)</f>
        <v>0.99999999999999978</v>
      </c>
      <c r="J35" s="186"/>
      <c r="K35" s="447">
        <f>SUM(K17:K34)</f>
        <v>1989.1347138488652</v>
      </c>
      <c r="L35" s="447">
        <f>SUM(L17:L34)</f>
        <v>2093.6124884567353</v>
      </c>
      <c r="M35" s="447">
        <f>SUM(M17:M34)</f>
        <v>2258.6344880256097</v>
      </c>
      <c r="O35" s="968"/>
      <c r="P35"/>
      <c r="Q35" s="528"/>
      <c r="R35" s="529">
        <f>SUM(R17:R34)</f>
        <v>213</v>
      </c>
      <c r="S35" s="529">
        <f>SUM(S17:S34)</f>
        <v>196</v>
      </c>
      <c r="T35" s="529">
        <f>SUM(T17:T34)</f>
        <v>213</v>
      </c>
      <c r="U35" s="529">
        <f>'Degree data'!E49</f>
        <v>212</v>
      </c>
      <c r="V35" s="529">
        <f>'Degree data'!F49</f>
        <v>272</v>
      </c>
      <c r="W35" s="529">
        <f>'Degree data'!G49</f>
        <v>242</v>
      </c>
      <c r="X35" s="1638">
        <f>'Degree data'!H49</f>
        <v>259</v>
      </c>
      <c r="Y35" s="529">
        <f>SUM(Y17:Y34)</f>
        <v>0</v>
      </c>
      <c r="AA35" s="1431"/>
      <c r="AB35" s="1"/>
      <c r="AC35" s="1"/>
      <c r="AD35" s="1"/>
      <c r="AE35" s="1"/>
      <c r="AF35" s="1"/>
      <c r="AG35" s="1"/>
    </row>
    <row r="36" spans="1:33">
      <c r="L36"/>
      <c r="M36"/>
      <c r="O36" s="966"/>
      <c r="P36"/>
      <c r="Q36" s="42"/>
      <c r="R36" s="42"/>
      <c r="U36" s="149"/>
      <c r="V36" s="149"/>
      <c r="W36" s="149"/>
      <c r="X36" s="149"/>
      <c r="Y36" s="149"/>
      <c r="AA36" s="1"/>
      <c r="AB36" s="1"/>
      <c r="AC36" s="1"/>
      <c r="AD36" s="1"/>
      <c r="AE36" s="1"/>
      <c r="AF36" s="1"/>
      <c r="AG36" s="1"/>
    </row>
    <row r="37" spans="1:33">
      <c r="O37" s="966"/>
      <c r="P37"/>
      <c r="Q37" s="42"/>
      <c r="R37" s="42"/>
      <c r="U37" s="149"/>
      <c r="V37" s="149"/>
      <c r="W37" s="149"/>
      <c r="X37" s="149"/>
      <c r="Y37" s="149"/>
      <c r="AA37" s="1432" t="s">
        <v>711</v>
      </c>
      <c r="AB37" s="1428">
        <v>0.73850856210006643</v>
      </c>
      <c r="AC37" s="1428">
        <v>1.1811318964529236</v>
      </c>
      <c r="AD37" s="1428">
        <v>2.3354326125608131</v>
      </c>
      <c r="AE37" s="1428">
        <v>2.9719656338531162</v>
      </c>
      <c r="AF37" s="1"/>
      <c r="AG37" s="1"/>
    </row>
    <row r="38" spans="1:33" ht="16.5" thickBot="1">
      <c r="O38" s="966"/>
      <c r="P38"/>
      <c r="AA38" s="1433" t="s">
        <v>712</v>
      </c>
      <c r="AB38" s="1434">
        <v>0.66466277461951395</v>
      </c>
      <c r="AC38" s="1434">
        <v>1.0550793979568804</v>
      </c>
      <c r="AD38" s="1434">
        <v>2.2142730991061281</v>
      </c>
      <c r="AE38" s="1434">
        <v>2.9272151237738941</v>
      </c>
      <c r="AF38" s="850"/>
      <c r="AG38" s="1"/>
    </row>
    <row r="39" spans="1:33" ht="16.5" thickTop="1">
      <c r="O39" s="966"/>
      <c r="P39"/>
      <c r="AA39" s="1"/>
      <c r="AB39" s="1"/>
      <c r="AC39" s="1"/>
      <c r="AD39" s="1"/>
      <c r="AE39" s="1"/>
      <c r="AF39" s="1"/>
      <c r="AG39" s="1"/>
    </row>
    <row r="40" spans="1:33">
      <c r="A40" s="458" t="s">
        <v>557</v>
      </c>
      <c r="B40" s="211"/>
      <c r="C40" s="211"/>
      <c r="D40" s="211"/>
      <c r="F40" s="456" t="s">
        <v>571</v>
      </c>
      <c r="G40" s="456"/>
      <c r="H40" s="456"/>
      <c r="I40" s="456"/>
      <c r="J40" s="532"/>
      <c r="K40" s="456" t="s">
        <v>567</v>
      </c>
      <c r="L40" s="456"/>
      <c r="M40" s="456"/>
      <c r="O40" s="966"/>
      <c r="P40"/>
      <c r="Q40" s="947" t="s">
        <v>565</v>
      </c>
      <c r="R40" s="1046"/>
      <c r="S40" s="1046"/>
      <c r="T40" s="1046"/>
      <c r="U40" s="1426"/>
      <c r="V40" s="1426"/>
      <c r="W40" s="1426"/>
      <c r="X40" s="1426"/>
      <c r="Y40" s="1426"/>
      <c r="AA40" s="1427" t="s">
        <v>784</v>
      </c>
      <c r="AB40" s="1435">
        <v>0.78234378161025697</v>
      </c>
      <c r="AC40" s="1435">
        <v>1.2290874621750383</v>
      </c>
      <c r="AD40" s="1435">
        <v>2.3077760272136798</v>
      </c>
      <c r="AE40" s="1435">
        <v>3.1256203051170219</v>
      </c>
      <c r="AF40" s="1"/>
      <c r="AG40" s="1"/>
    </row>
    <row r="41" spans="1:33" ht="38.25">
      <c r="A41" s="459"/>
      <c r="B41" s="460" t="s">
        <v>1677</v>
      </c>
      <c r="C41" s="460" t="s">
        <v>1678</v>
      </c>
      <c r="D41" s="460" t="s">
        <v>1591</v>
      </c>
      <c r="F41" s="214"/>
      <c r="G41" s="460" t="s">
        <v>1674</v>
      </c>
      <c r="H41" s="460" t="s">
        <v>1673</v>
      </c>
      <c r="I41" s="460" t="s">
        <v>1592</v>
      </c>
      <c r="J41" s="43"/>
      <c r="K41" s="460" t="s">
        <v>840</v>
      </c>
      <c r="L41" s="460" t="s">
        <v>1213</v>
      </c>
      <c r="M41" s="460" t="s">
        <v>1588</v>
      </c>
      <c r="O41" s="966"/>
      <c r="P41"/>
      <c r="Q41" s="434"/>
      <c r="R41" s="433" t="s">
        <v>507</v>
      </c>
      <c r="S41" s="433" t="s">
        <v>508</v>
      </c>
      <c r="T41" s="433" t="s">
        <v>509</v>
      </c>
      <c r="U41" s="433" t="s">
        <v>821</v>
      </c>
      <c r="V41" s="433" t="s">
        <v>963</v>
      </c>
      <c r="W41" s="433" t="s">
        <v>1473</v>
      </c>
      <c r="X41" s="433" t="s">
        <v>1572</v>
      </c>
      <c r="Y41" s="433" t="s">
        <v>1165</v>
      </c>
    </row>
    <row r="42" spans="1:33">
      <c r="A42" s="461" t="s">
        <v>513</v>
      </c>
      <c r="B42" s="523">
        <f t="shared" ref="B42:B53" si="8">G17*D$4+G42*D$5</f>
        <v>0.10749243035026668</v>
      </c>
      <c r="C42" s="523">
        <f>H17*D$4+H42*D$5</f>
        <v>9.9568467483869771E-2</v>
      </c>
      <c r="D42" s="523">
        <f t="shared" ref="D42:D53" si="9">I17*D$4+I42*D$5</f>
        <v>9.7006938173943069E-2</v>
      </c>
      <c r="F42" s="461" t="s">
        <v>513</v>
      </c>
      <c r="G42" s="523">
        <f>K88/K$106</f>
        <v>9.8338088128757953E-2</v>
      </c>
      <c r="H42" s="523">
        <f>L88/L$106</f>
        <v>9.5661965186613504E-2</v>
      </c>
      <c r="I42" s="523">
        <f>M88/M$106</f>
        <v>9.3719235988671865E-2</v>
      </c>
      <c r="K42" s="435">
        <f>O42*(U42+V42+T42)+'Interdisciplinary Graduate'!B37</f>
        <v>754.49192769179297</v>
      </c>
      <c r="L42" s="435">
        <f>O42*(V42+W42+U42)+'Interdisciplinary Graduate'!C37</f>
        <v>637.724765227489</v>
      </c>
      <c r="M42" s="435">
        <f>O42*(V42+W42+X42+Y42)+'Interdisciplinary Graduate'!D37</f>
        <v>592.81476953247841</v>
      </c>
      <c r="O42" s="926">
        <f>IF(O$12="yes",AD17,1)</f>
        <v>2.9940236651900212</v>
      </c>
      <c r="P42"/>
      <c r="Q42" s="461" t="s">
        <v>513</v>
      </c>
      <c r="R42" s="508">
        <v>64</v>
      </c>
      <c r="S42" s="509">
        <v>63</v>
      </c>
      <c r="T42" s="509">
        <v>87</v>
      </c>
      <c r="U42" s="508">
        <f>'Degree data'!E54</f>
        <v>73</v>
      </c>
      <c r="V42" s="508">
        <f>'Degree data'!F54</f>
        <v>75</v>
      </c>
      <c r="W42" s="508">
        <f>'Degree data'!G54</f>
        <v>46</v>
      </c>
      <c r="X42" s="508">
        <f>'Degree data'!H54</f>
        <v>61</v>
      </c>
      <c r="Y42" s="1079">
        <f>3*'What If Data'!M25</f>
        <v>0</v>
      </c>
      <c r="AA42" s="10"/>
      <c r="AB42" s="10"/>
      <c r="AC42" s="10"/>
      <c r="AD42" s="10"/>
      <c r="AE42" s="10"/>
      <c r="AF42" s="10"/>
    </row>
    <row r="43" spans="1:33">
      <c r="A43" s="461" t="s">
        <v>6</v>
      </c>
      <c r="B43" s="523">
        <f t="shared" si="8"/>
        <v>4.4651382281866422E-2</v>
      </c>
      <c r="C43" s="523">
        <f t="shared" ref="C43:C53" si="10">H18*D$4+H43*D$5</f>
        <v>4.206841422477392E-2</v>
      </c>
      <c r="D43" s="523">
        <f t="shared" si="9"/>
        <v>3.9461316554321973E-2</v>
      </c>
      <c r="F43" s="461" t="s">
        <v>6</v>
      </c>
      <c r="G43" s="523">
        <f t="shared" ref="G43:G53" si="11">K89/K$106</f>
        <v>2.4981119379659848E-2</v>
      </c>
      <c r="H43" s="523">
        <f t="shared" ref="H43:H53" si="12">L89/L$106</f>
        <v>2.1469878978478841E-2</v>
      </c>
      <c r="I43" s="523">
        <f t="shared" ref="I43:I53" si="13">M89/M$106</f>
        <v>1.8299772572132309E-2</v>
      </c>
      <c r="K43" s="435">
        <f>O43*(U43+V43+T43)+'Interdisciplinary Graduate'!B38</f>
        <v>491.11254125412535</v>
      </c>
      <c r="L43" s="435">
        <f>O43*(V43+W43+U43)+'Interdisciplinary Graduate'!C38</f>
        <v>494.38662486248614</v>
      </c>
      <c r="M43" s="435">
        <f>O43*(V43+W43+X43+Y43)+'Interdisciplinary Graduate'!D38</f>
        <v>469.83099779977988</v>
      </c>
      <c r="O43" s="926">
        <f>IF(O$12="yes",AD18,1)</f>
        <v>1.6370418041804178</v>
      </c>
      <c r="P43"/>
      <c r="Q43" s="461" t="s">
        <v>6</v>
      </c>
      <c r="R43" s="508">
        <v>76</v>
      </c>
      <c r="S43" s="509">
        <v>85</v>
      </c>
      <c r="T43" s="509">
        <v>88</v>
      </c>
      <c r="U43" s="508">
        <f>'Degree data'!E55</f>
        <v>100</v>
      </c>
      <c r="V43" s="508">
        <f>'Degree data'!F55</f>
        <v>112</v>
      </c>
      <c r="W43" s="508">
        <f>'Degree data'!G55</f>
        <v>90</v>
      </c>
      <c r="X43" s="508">
        <f>'Degree data'!H55</f>
        <v>85</v>
      </c>
      <c r="Y43" s="1079">
        <f>3*'What If Data'!M26</f>
        <v>0</v>
      </c>
    </row>
    <row r="44" spans="1:33">
      <c r="A44" s="461" t="s">
        <v>8</v>
      </c>
      <c r="B44" s="523">
        <f t="shared" si="8"/>
        <v>3.7095857492832188E-2</v>
      </c>
      <c r="C44" s="523">
        <f t="shared" si="10"/>
        <v>3.5164590228070225E-2</v>
      </c>
      <c r="D44" s="523">
        <f t="shared" si="9"/>
        <v>3.2981892096103561E-2</v>
      </c>
      <c r="F44" s="461" t="s">
        <v>8</v>
      </c>
      <c r="G44" s="523">
        <f t="shared" si="11"/>
        <v>7.9930169493259567E-3</v>
      </c>
      <c r="H44" s="523">
        <f t="shared" si="12"/>
        <v>5.7619401029466175E-3</v>
      </c>
      <c r="I44" s="523">
        <f t="shared" si="13"/>
        <v>5.2266671988630787E-3</v>
      </c>
      <c r="K44" s="435">
        <f>O44*(U44+V44+T44)+'Interdisciplinary Graduate'!B39</f>
        <v>327.03970800000002</v>
      </c>
      <c r="L44" s="435">
        <f>O44*(V44+W44+U44)+'Interdisciplinary Graduate'!C39</f>
        <v>334.33964959999997</v>
      </c>
      <c r="M44" s="435">
        <f>O44*(V44+W44+X44+Y44)+'Interdisciplinary Graduate'!D39</f>
        <v>332.87953279999999</v>
      </c>
      <c r="O44" s="926">
        <f>IF(O$12="yes",AD19,1)</f>
        <v>1.46</v>
      </c>
      <c r="P44"/>
      <c r="Q44" s="461" t="s">
        <v>8</v>
      </c>
      <c r="R44" s="508">
        <v>73</v>
      </c>
      <c r="S44" s="509">
        <v>66</v>
      </c>
      <c r="T44" s="509">
        <v>74</v>
      </c>
      <c r="U44" s="508">
        <f>'Degree data'!E56</f>
        <v>73</v>
      </c>
      <c r="V44" s="508">
        <f>'Degree data'!F56</f>
        <v>72</v>
      </c>
      <c r="W44" s="508">
        <f>'Degree data'!G56</f>
        <v>78</v>
      </c>
      <c r="X44" s="508">
        <f>'Degree data'!H56</f>
        <v>70</v>
      </c>
      <c r="Y44" s="1079">
        <f>3*'What If Data'!M27</f>
        <v>0</v>
      </c>
    </row>
    <row r="45" spans="1:33" s="10" customFormat="1">
      <c r="A45" s="463" t="s">
        <v>2</v>
      </c>
      <c r="B45" s="523">
        <f t="shared" si="8"/>
        <v>4.5073730319759489E-2</v>
      </c>
      <c r="C45" s="523">
        <f t="shared" si="10"/>
        <v>4.5591311899953822E-2</v>
      </c>
      <c r="D45" s="523">
        <f t="shared" si="9"/>
        <v>4.7106491155566199E-2</v>
      </c>
      <c r="E45" s="42"/>
      <c r="F45" s="463" t="s">
        <v>2</v>
      </c>
      <c r="G45" s="523">
        <f t="shared" si="11"/>
        <v>3.1664549896971039E-2</v>
      </c>
      <c r="H45" s="523">
        <f t="shared" si="12"/>
        <v>3.0683485223321216E-2</v>
      </c>
      <c r="I45" s="523">
        <f t="shared" si="13"/>
        <v>2.8437791931562595E-2</v>
      </c>
      <c r="J45"/>
      <c r="K45" s="435">
        <f>O45*(U45+V45+T45)+'Interdisciplinary Graduate'!B40</f>
        <v>400.92422580000004</v>
      </c>
      <c r="L45" s="435">
        <f>O45*(V45+W45+U45)+'Interdisciplinary Graduate'!C40</f>
        <v>409.21933640000009</v>
      </c>
      <c r="M45" s="435">
        <f>O45*(V45+W45+X45+Y45)+'Interdisciplinary Graduate'!D40</f>
        <v>445.16422580000005</v>
      </c>
      <c r="N45"/>
      <c r="O45" s="926">
        <f>IF(O$12="yes",AD20,1)</f>
        <v>2.7650000000000006</v>
      </c>
      <c r="P45"/>
      <c r="Q45" s="463" t="s">
        <v>2</v>
      </c>
      <c r="R45" s="508">
        <v>28</v>
      </c>
      <c r="S45" s="509">
        <v>47</v>
      </c>
      <c r="T45" s="509">
        <v>46</v>
      </c>
      <c r="U45" s="508">
        <f>'Degree data'!E57</f>
        <v>40</v>
      </c>
      <c r="V45" s="508">
        <f>'Degree data'!F57</f>
        <v>52</v>
      </c>
      <c r="W45" s="508">
        <f>'Degree data'!G57</f>
        <v>50</v>
      </c>
      <c r="X45" s="508">
        <f>'Degree data'!H57</f>
        <v>52</v>
      </c>
      <c r="Y45" s="1079">
        <f>3*'What If Data'!M28</f>
        <v>0</v>
      </c>
    </row>
    <row r="46" spans="1:33">
      <c r="A46" s="461" t="s">
        <v>10</v>
      </c>
      <c r="B46" s="523">
        <f t="shared" si="8"/>
        <v>0.11037596050919349</v>
      </c>
      <c r="C46" s="523">
        <f t="shared" si="10"/>
        <v>0.11013975249568113</v>
      </c>
      <c r="D46" s="523">
        <f t="shared" si="9"/>
        <v>0.10870946794320616</v>
      </c>
      <c r="F46" s="461" t="s">
        <v>10</v>
      </c>
      <c r="G46" s="523">
        <f t="shared" si="11"/>
        <v>0.1571601479723706</v>
      </c>
      <c r="H46" s="523">
        <f t="shared" si="12"/>
        <v>0.15839346975748858</v>
      </c>
      <c r="I46" s="523">
        <f t="shared" si="13"/>
        <v>0.16064229154430479</v>
      </c>
      <c r="K46" s="435">
        <f>O46*(U46+V46+T46)+'Interdisciplinary Graduate'!B41</f>
        <v>706.09500000000003</v>
      </c>
      <c r="L46" s="435">
        <f>O46*(V46+W46+U46)+'Interdisciplinary Graduate'!C41</f>
        <v>700.55700000000002</v>
      </c>
      <c r="M46" s="435">
        <f>O46*(V46+W46+X46+Y46)+'Interdisciplinary Graduate'!D41</f>
        <v>664.56000000000006</v>
      </c>
      <c r="O46" s="1022">
        <f>IF(O$13="yes",2.769,AF21)</f>
        <v>2.7690000000000001</v>
      </c>
      <c r="P46"/>
      <c r="Q46" s="461" t="s">
        <v>10</v>
      </c>
      <c r="R46" s="508">
        <v>88</v>
      </c>
      <c r="S46" s="509">
        <v>94</v>
      </c>
      <c r="T46" s="509">
        <v>83</v>
      </c>
      <c r="U46" s="508">
        <f>'Degree data'!E58</f>
        <v>95</v>
      </c>
      <c r="V46" s="508">
        <f>'Degree data'!F58</f>
        <v>77</v>
      </c>
      <c r="W46" s="508">
        <f>'Degree data'!G58</f>
        <v>81</v>
      </c>
      <c r="X46" s="508">
        <f>'Degree data'!H58</f>
        <v>82</v>
      </c>
      <c r="Y46" s="1079">
        <f>3*'What If Data'!M29</f>
        <v>0</v>
      </c>
    </row>
    <row r="47" spans="1:33">
      <c r="A47" s="461" t="s">
        <v>4</v>
      </c>
      <c r="B47" s="523">
        <f t="shared" si="8"/>
        <v>0.10319726787332795</v>
      </c>
      <c r="C47" s="523">
        <f t="shared" si="10"/>
        <v>0.10509721518622665</v>
      </c>
      <c r="D47" s="523">
        <f t="shared" si="9"/>
        <v>0.10934531943746492</v>
      </c>
      <c r="F47" s="461" t="s">
        <v>4</v>
      </c>
      <c r="G47" s="523">
        <f t="shared" si="11"/>
        <v>0.13191700801328307</v>
      </c>
      <c r="H47" s="523">
        <f t="shared" si="12"/>
        <v>0.12942532514759114</v>
      </c>
      <c r="I47" s="523">
        <f t="shared" si="13"/>
        <v>0.12809403536003955</v>
      </c>
      <c r="K47" s="435">
        <f>O47*(U47+V47+T47)+'Interdisciplinary Graduate'!B42</f>
        <v>395.24924698795189</v>
      </c>
      <c r="L47" s="435">
        <f>O47*(V47+W47+U47)+'Interdisciplinary Graduate'!C42</f>
        <v>389.97925702811256</v>
      </c>
      <c r="M47" s="435">
        <f>O47*(V47+W47+X47+Y47)+'Interdisciplinary Graduate'!D42</f>
        <v>432.13917670682741</v>
      </c>
      <c r="O47" s="926">
        <f>IF(O$12="yes",AD22,1)</f>
        <v>2.6349949799196795</v>
      </c>
      <c r="P47"/>
      <c r="Q47" s="461" t="s">
        <v>4</v>
      </c>
      <c r="R47" s="508">
        <v>60</v>
      </c>
      <c r="S47" s="509">
        <v>60</v>
      </c>
      <c r="T47" s="509">
        <v>49</v>
      </c>
      <c r="U47" s="508">
        <f>'Degree data'!E59</f>
        <v>45</v>
      </c>
      <c r="V47" s="508">
        <f>'Degree data'!F59</f>
        <v>56</v>
      </c>
      <c r="W47" s="508">
        <f>'Degree data'!G59</f>
        <v>47</v>
      </c>
      <c r="X47" s="508">
        <f>'Degree data'!H59</f>
        <v>61</v>
      </c>
      <c r="Y47" s="1079">
        <f>3*'What If Data'!M30</f>
        <v>0</v>
      </c>
    </row>
    <row r="48" spans="1:33" s="10" customFormat="1">
      <c r="A48" s="461" t="s">
        <v>14</v>
      </c>
      <c r="B48" s="523">
        <f t="shared" si="8"/>
        <v>1.2871041644722339E-2</v>
      </c>
      <c r="C48" s="523">
        <f t="shared" si="10"/>
        <v>1.2779949060555644E-2</v>
      </c>
      <c r="D48" s="523">
        <f t="shared" si="9"/>
        <v>1.2113350402872035E-2</v>
      </c>
      <c r="E48" s="42"/>
      <c r="F48" s="461" t="s">
        <v>14</v>
      </c>
      <c r="G48" s="523">
        <f t="shared" si="11"/>
        <v>2.4168838102414381E-2</v>
      </c>
      <c r="H48" s="523">
        <f t="shared" si="12"/>
        <v>2.3731879432648411E-2</v>
      </c>
      <c r="I48" s="523">
        <f t="shared" si="13"/>
        <v>2.2607417215538973E-2</v>
      </c>
      <c r="J48"/>
      <c r="K48" s="435">
        <f>'Interdisciplinary Graduate'!B43</f>
        <v>6.4600178899852265</v>
      </c>
      <c r="L48" s="435">
        <f>'Interdisciplinary Graduate'!C43</f>
        <v>6.9983527141506618</v>
      </c>
      <c r="M48" s="435">
        <f>O48*(Y48)+'Interdisciplinary Graduate'!D43</f>
        <v>6.4600178899852265</v>
      </c>
      <c r="N48"/>
      <c r="O48" s="926">
        <f>IF(O$12="yes",AD23,1)</f>
        <v>2.6911358936484491</v>
      </c>
      <c r="P48"/>
      <c r="Q48" s="461" t="s">
        <v>14</v>
      </c>
      <c r="R48" s="508">
        <v>49</v>
      </c>
      <c r="S48" s="509">
        <v>62</v>
      </c>
      <c r="T48" s="509">
        <v>49</v>
      </c>
      <c r="U48" s="508">
        <f>'Degree data'!E60</f>
        <v>37</v>
      </c>
      <c r="V48" s="508">
        <f>'Degree data'!F60</f>
        <v>46</v>
      </c>
      <c r="W48" s="508">
        <f>'Degree data'!G60</f>
        <v>42</v>
      </c>
      <c r="X48" s="508">
        <f>'Degree data'!H60</f>
        <v>40</v>
      </c>
      <c r="Y48" s="1079">
        <f>3*'What If Data'!M31</f>
        <v>0</v>
      </c>
      <c r="AA48"/>
      <c r="AB48"/>
      <c r="AC48"/>
      <c r="AD48"/>
      <c r="AE48"/>
      <c r="AF48"/>
    </row>
    <row r="49" spans="1:25">
      <c r="A49" s="463" t="s">
        <v>17</v>
      </c>
      <c r="B49" s="523">
        <f t="shared" si="8"/>
        <v>6.1113362538180262E-2</v>
      </c>
      <c r="C49" s="523">
        <f t="shared" si="10"/>
        <v>6.0107864736000119E-2</v>
      </c>
      <c r="D49" s="523">
        <f t="shared" si="9"/>
        <v>6.0883818386064784E-2</v>
      </c>
      <c r="F49" s="463" t="s">
        <v>17</v>
      </c>
      <c r="G49" s="523">
        <f t="shared" si="11"/>
        <v>4.896879036125526E-2</v>
      </c>
      <c r="H49" s="523">
        <f t="shared" si="12"/>
        <v>5.1054379878078267E-2</v>
      </c>
      <c r="I49" s="523">
        <f t="shared" si="13"/>
        <v>5.4037853458422845E-2</v>
      </c>
      <c r="K49" s="435">
        <f>O49*(U49+V49+T49)+'Interdisciplinary Graduate'!B44</f>
        <v>577.83967665186583</v>
      </c>
      <c r="L49" s="435">
        <f>O49*(V49+W49+U49)+'Interdisciplinary Graduate'!C44</f>
        <v>573.66743244310032</v>
      </c>
      <c r="M49" s="435">
        <f>O49*(V49+W49+X49+Y49)+'Interdisciplinary Graduate'!D44</f>
        <v>588.26966134966494</v>
      </c>
      <c r="O49" s="926">
        <f>IF(O$12="yes",AD24,1)</f>
        <v>2.0860803827751191</v>
      </c>
      <c r="P49"/>
      <c r="Q49" s="463" t="s">
        <v>17</v>
      </c>
      <c r="R49" s="508">
        <v>62</v>
      </c>
      <c r="S49" s="509">
        <v>71</v>
      </c>
      <c r="T49" s="509">
        <v>78</v>
      </c>
      <c r="U49" s="508">
        <f>'Degree data'!E61</f>
        <v>72</v>
      </c>
      <c r="V49" s="508">
        <f>'Degree data'!F61</f>
        <v>72</v>
      </c>
      <c r="W49" s="508">
        <f>'Degree data'!G61</f>
        <v>75</v>
      </c>
      <c r="X49" s="508">
        <f>'Degree data'!H61</f>
        <v>75</v>
      </c>
      <c r="Y49" s="1079">
        <f>3*'What If Data'!M32</f>
        <v>0</v>
      </c>
    </row>
    <row r="50" spans="1:25">
      <c r="A50" s="461" t="s">
        <v>316</v>
      </c>
      <c r="B50" s="523">
        <f t="shared" si="8"/>
        <v>7.4857656116122454E-2</v>
      </c>
      <c r="C50" s="523">
        <f t="shared" si="10"/>
        <v>7.3382719000258029E-2</v>
      </c>
      <c r="D50" s="523">
        <f t="shared" si="9"/>
        <v>7.4701679132934642E-2</v>
      </c>
      <c r="F50" s="461" t="s">
        <v>316</v>
      </c>
      <c r="G50" s="523">
        <f t="shared" si="11"/>
        <v>0.10841112303747612</v>
      </c>
      <c r="H50" s="523">
        <f t="shared" si="12"/>
        <v>0.10900560001702272</v>
      </c>
      <c r="I50" s="523">
        <f t="shared" si="13"/>
        <v>0.11463536797958467</v>
      </c>
      <c r="K50" s="435">
        <f>O50*(U50+V50+T50)+'Interdisciplinary Graduate'!B45</f>
        <v>495.65100000000001</v>
      </c>
      <c r="L50" s="435">
        <f>O50*(V50+W50+U50)+'Interdisciplinary Graduate'!C45</f>
        <v>476.26800000000003</v>
      </c>
      <c r="M50" s="435">
        <f>O50*(V50+W50+X50+Y50)+'Interdisciplinary Graduate'!D45</f>
        <v>467.96100000000001</v>
      </c>
      <c r="O50" s="1022">
        <f>IF(O$13="yes",2.769,AF25)</f>
        <v>2.7690000000000001</v>
      </c>
      <c r="P50"/>
      <c r="Q50" s="461" t="s">
        <v>316</v>
      </c>
      <c r="R50" s="508">
        <v>57</v>
      </c>
      <c r="S50" s="509">
        <v>58</v>
      </c>
      <c r="T50" s="509">
        <v>63</v>
      </c>
      <c r="U50" s="508">
        <f>'Degree data'!E62</f>
        <v>61</v>
      </c>
      <c r="V50" s="508">
        <f>'Degree data'!F62</f>
        <v>55</v>
      </c>
      <c r="W50" s="508">
        <f>'Degree data'!G62</f>
        <v>56</v>
      </c>
      <c r="X50" s="508">
        <f>'Degree data'!H62</f>
        <v>58</v>
      </c>
      <c r="Y50" s="1079">
        <f>3*'What If Data'!M33</f>
        <v>0</v>
      </c>
    </row>
    <row r="51" spans="1:25">
      <c r="A51" s="461" t="s">
        <v>7</v>
      </c>
      <c r="B51" s="523">
        <f t="shared" si="8"/>
        <v>0.28918312240933808</v>
      </c>
      <c r="C51" s="523">
        <f t="shared" si="10"/>
        <v>0.30356599836481624</v>
      </c>
      <c r="D51" s="523">
        <f t="shared" si="9"/>
        <v>0.30838421559412377</v>
      </c>
      <c r="F51" s="461" t="s">
        <v>7</v>
      </c>
      <c r="G51" s="523">
        <f t="shared" si="11"/>
        <v>0.27599116557629827</v>
      </c>
      <c r="H51" s="523">
        <f t="shared" si="12"/>
        <v>0.28144135007560583</v>
      </c>
      <c r="I51" s="523">
        <f t="shared" si="13"/>
        <v>0.27822116713302231</v>
      </c>
      <c r="K51" s="435">
        <f>O51*(U51+V51+T51)+'Interdisciplinary Graduate'!B46</f>
        <v>2269.1985678032024</v>
      </c>
      <c r="L51" s="435">
        <f>O51*(V51+W51+U51)+'Interdisciplinary Graduate'!C46</f>
        <v>2465.1749324620746</v>
      </c>
      <c r="M51" s="435">
        <f>O51*(V51+W51+X51+Y51)+'Interdisciplinary Graduate'!D46</f>
        <v>2503.8546844093407</v>
      </c>
      <c r="O51" s="926">
        <f>IF(O$12="yes",AD26,1)</f>
        <v>2.5786363770904241</v>
      </c>
      <c r="P51"/>
      <c r="Q51" s="461" t="s">
        <v>7</v>
      </c>
      <c r="R51" s="508">
        <v>186</v>
      </c>
      <c r="S51" s="509">
        <v>231</v>
      </c>
      <c r="T51" s="509">
        <v>233</v>
      </c>
      <c r="U51" s="508">
        <f>'Degree data'!E63</f>
        <v>291</v>
      </c>
      <c r="V51" s="508">
        <f>'Degree data'!F63</f>
        <v>342</v>
      </c>
      <c r="W51" s="508">
        <f>'Degree data'!G63</f>
        <v>309</v>
      </c>
      <c r="X51" s="508">
        <f>'Degree data'!H63</f>
        <v>308</v>
      </c>
      <c r="Y51" s="1079">
        <f>3*'What If Data'!M34</f>
        <v>0</v>
      </c>
    </row>
    <row r="52" spans="1:25">
      <c r="A52" s="461" t="s">
        <v>9</v>
      </c>
      <c r="B52" s="523">
        <f t="shared" si="8"/>
        <v>6.4100756984583951E-2</v>
      </c>
      <c r="C52" s="523">
        <f t="shared" si="10"/>
        <v>6.4960393537222966E-2</v>
      </c>
      <c r="D52" s="523">
        <f t="shared" si="9"/>
        <v>6.5294948680429468E-2</v>
      </c>
      <c r="F52" s="461" t="s">
        <v>9</v>
      </c>
      <c r="G52" s="523">
        <f t="shared" si="11"/>
        <v>4.9613524286386185E-2</v>
      </c>
      <c r="H52" s="523">
        <f t="shared" si="12"/>
        <v>5.3467019601404243E-2</v>
      </c>
      <c r="I52" s="523">
        <f t="shared" si="13"/>
        <v>5.821962312750751E-2</v>
      </c>
      <c r="K52" s="435">
        <f>O52*(U52+V52+T52)+'Interdisciplinary Graduate'!B47</f>
        <v>494.66711718879276</v>
      </c>
      <c r="L52" s="435">
        <f>O52*(V52+W52+U52)+'Interdisciplinary Graduate'!C47</f>
        <v>513.78469062943657</v>
      </c>
      <c r="M52" s="435">
        <f>O52*(V52+W52+X52+Y52)+'Interdisciplinary Graduate'!D47</f>
        <v>520.95378066967805</v>
      </c>
      <c r="O52" s="926">
        <f>IF(O$12="yes",AD27,1)</f>
        <v>2.3896966800804829</v>
      </c>
      <c r="P52"/>
      <c r="Q52" s="461" t="s">
        <v>9</v>
      </c>
      <c r="R52" s="508">
        <v>64</v>
      </c>
      <c r="S52" s="509">
        <v>68</v>
      </c>
      <c r="T52" s="509">
        <v>78</v>
      </c>
      <c r="U52" s="508">
        <f>'Degree data'!E64</f>
        <v>69</v>
      </c>
      <c r="V52" s="508">
        <f>'Degree data'!F64</f>
        <v>59</v>
      </c>
      <c r="W52" s="508">
        <f>'Degree data'!G64</f>
        <v>86</v>
      </c>
      <c r="X52" s="508">
        <f>'Degree data'!H64</f>
        <v>72</v>
      </c>
      <c r="Y52" s="1079">
        <f>3*'What If Data'!M35</f>
        <v>0</v>
      </c>
    </row>
    <row r="53" spans="1:25">
      <c r="A53" s="463" t="s">
        <v>5</v>
      </c>
      <c r="B53" s="523">
        <f t="shared" si="8"/>
        <v>4.9987431479806686E-2</v>
      </c>
      <c r="C53" s="523">
        <f t="shared" si="10"/>
        <v>4.7573323782571404E-2</v>
      </c>
      <c r="D53" s="523">
        <f t="shared" si="9"/>
        <v>4.4010562442969373E-2</v>
      </c>
      <c r="F53" s="463" t="s">
        <v>5</v>
      </c>
      <c r="G53" s="523">
        <f t="shared" si="11"/>
        <v>4.0792628295801145E-2</v>
      </c>
      <c r="H53" s="523">
        <f t="shared" si="12"/>
        <v>3.9903706598800673E-2</v>
      </c>
      <c r="I53" s="523">
        <f t="shared" si="13"/>
        <v>3.7858776490349529E-2</v>
      </c>
      <c r="K53" s="435">
        <f>O53*(U53+V53+T53)+'Interdisciplinary Graduate'!B48</f>
        <v>290.74399437575761</v>
      </c>
      <c r="L53" s="435">
        <f>O53*(V53+W53+U53)+'Interdisciplinary Graduate'!C48</f>
        <v>273.29933145350651</v>
      </c>
      <c r="M53" s="435">
        <f>O53*(V53+W53+X53+Y53)+'Interdisciplinary Graduate'!D48</f>
        <v>255.85443593419916</v>
      </c>
      <c r="O53" s="926">
        <f>IF(O$12="yes",AD28,1)</f>
        <v>2.907463203463204</v>
      </c>
      <c r="P53"/>
      <c r="Q53" s="463" t="s">
        <v>5</v>
      </c>
      <c r="R53" s="508">
        <v>26</v>
      </c>
      <c r="S53" s="509">
        <v>27</v>
      </c>
      <c r="T53" s="509">
        <v>26</v>
      </c>
      <c r="U53" s="508">
        <f>'Degree data'!E65</f>
        <v>32</v>
      </c>
      <c r="V53" s="508">
        <f>'Degree data'!F65</f>
        <v>22</v>
      </c>
      <c r="W53" s="508">
        <f>'Degree data'!G65</f>
        <v>21</v>
      </c>
      <c r="X53" s="508">
        <f>'Degree data'!H65</f>
        <v>25</v>
      </c>
      <c r="Y53" s="1079">
        <f>3*'What If Data'!M36</f>
        <v>0</v>
      </c>
    </row>
    <row r="54" spans="1:25">
      <c r="A54" s="461"/>
      <c r="B54" s="523"/>
      <c r="C54" s="523"/>
      <c r="D54" s="523"/>
      <c r="F54" s="441"/>
      <c r="G54" s="523"/>
      <c r="H54" s="525"/>
      <c r="I54" s="523"/>
      <c r="J54" s="42"/>
      <c r="K54" s="434"/>
      <c r="L54" s="462"/>
      <c r="M54" s="435"/>
      <c r="O54" s="968"/>
      <c r="P54"/>
      <c r="Q54" s="461"/>
      <c r="R54" s="505"/>
      <c r="S54" s="432"/>
      <c r="T54" s="432"/>
      <c r="U54" s="148"/>
      <c r="V54" s="505"/>
      <c r="W54" s="505"/>
      <c r="X54" s="505"/>
      <c r="Y54" s="505"/>
    </row>
    <row r="55" spans="1:25">
      <c r="A55" s="461" t="s">
        <v>516</v>
      </c>
      <c r="B55" s="523">
        <f>G30*D$4+G55*D$5</f>
        <v>0</v>
      </c>
      <c r="C55" s="523">
        <f>H30*D$4+H55*D$5</f>
        <v>0</v>
      </c>
      <c r="D55" s="523">
        <f>I30*D$4+I55*D$5</f>
        <v>0</v>
      </c>
      <c r="F55" s="461" t="s">
        <v>516</v>
      </c>
      <c r="G55" s="523">
        <f t="shared" ref="G55:I59" si="14">K101/K$106</f>
        <v>0</v>
      </c>
      <c r="H55" s="523">
        <f t="shared" si="14"/>
        <v>0</v>
      </c>
      <c r="I55" s="523">
        <f t="shared" si="14"/>
        <v>0</v>
      </c>
      <c r="K55" s="435">
        <f>O55*(U55+V55+T55)+'Interdisciplinary Graduate'!B50</f>
        <v>0</v>
      </c>
      <c r="L55" s="435">
        <f>O55*(V55+W55+U55)+'Interdisciplinary Graduate'!C50</f>
        <v>0</v>
      </c>
      <c r="M55" s="435">
        <f>O55*(V55+W55+X55+Y55)+'Interdisciplinary Graduate'!D50</f>
        <v>0</v>
      </c>
      <c r="O55" s="968"/>
      <c r="P55"/>
      <c r="Q55" s="461" t="s">
        <v>516</v>
      </c>
      <c r="R55" s="505"/>
      <c r="S55" s="432"/>
      <c r="T55" s="432"/>
      <c r="U55" s="148"/>
      <c r="V55" s="505"/>
      <c r="W55" s="505"/>
      <c r="X55" s="505"/>
      <c r="Y55" s="505"/>
    </row>
    <row r="56" spans="1:25">
      <c r="A56" s="461" t="s">
        <v>537</v>
      </c>
      <c r="B56" s="523">
        <f>G31*D$4+G56*D$5</f>
        <v>0</v>
      </c>
      <c r="C56" s="523">
        <f>H31*D$4+H56*D$5</f>
        <v>0</v>
      </c>
      <c r="D56" s="523">
        <f>I31*D$4+I56*D$5</f>
        <v>0</v>
      </c>
      <c r="F56" s="461" t="s">
        <v>537</v>
      </c>
      <c r="G56" s="523">
        <f t="shared" si="14"/>
        <v>0</v>
      </c>
      <c r="H56" s="523">
        <f t="shared" si="14"/>
        <v>0</v>
      </c>
      <c r="I56" s="523">
        <f t="shared" si="14"/>
        <v>0</v>
      </c>
      <c r="K56" s="435">
        <f>O56*(U56+V56+T56)+'Interdisciplinary Graduate'!B51</f>
        <v>0</v>
      </c>
      <c r="L56" s="435">
        <f>O56*(V56+W56+U56)+'Interdisciplinary Graduate'!C51</f>
        <v>0</v>
      </c>
      <c r="M56" s="435">
        <f>O56*(V56+W56+X56+Y56)+'Interdisciplinary Graduate'!D51</f>
        <v>0</v>
      </c>
      <c r="O56" s="968"/>
      <c r="P56"/>
      <c r="Q56" s="461" t="s">
        <v>537</v>
      </c>
      <c r="R56" s="505"/>
      <c r="S56" s="432"/>
      <c r="T56" s="432"/>
      <c r="U56" s="148"/>
      <c r="V56" s="505"/>
      <c r="W56" s="505"/>
      <c r="X56" s="505"/>
      <c r="Y56" s="505"/>
    </row>
    <row r="57" spans="1:25">
      <c r="A57" s="463" t="s">
        <v>518</v>
      </c>
      <c r="B57" s="523">
        <f>G32*D$4+G57*D$5</f>
        <v>0</v>
      </c>
      <c r="C57" s="523">
        <f>H32*D$4+H57*D$5</f>
        <v>0</v>
      </c>
      <c r="D57" s="523">
        <f>I32*D$4+I57*D$5</f>
        <v>0</v>
      </c>
      <c r="F57" s="463" t="s">
        <v>518</v>
      </c>
      <c r="G57" s="523">
        <f t="shared" si="14"/>
        <v>0</v>
      </c>
      <c r="H57" s="523">
        <f t="shared" si="14"/>
        <v>0</v>
      </c>
      <c r="I57" s="523">
        <f t="shared" si="14"/>
        <v>0</v>
      </c>
      <c r="K57" s="435">
        <f>O57*(U57+V57+T57)+'Interdisciplinary Graduate'!B52</f>
        <v>0</v>
      </c>
      <c r="L57" s="435">
        <f>O57*(V57+W57+U57)+'Interdisciplinary Graduate'!C52</f>
        <v>0</v>
      </c>
      <c r="M57" s="435">
        <f>O57*(V57+W57+X57+Y57)+'Interdisciplinary Graduate'!D52</f>
        <v>0</v>
      </c>
      <c r="O57" s="968"/>
      <c r="P57"/>
      <c r="Q57" s="463" t="s">
        <v>518</v>
      </c>
      <c r="R57" s="505"/>
      <c r="S57" s="432"/>
      <c r="T57" s="432"/>
      <c r="U57" s="505"/>
      <c r="V57" s="505"/>
      <c r="W57" s="505"/>
      <c r="X57" s="505"/>
      <c r="Y57" s="505"/>
    </row>
    <row r="58" spans="1:25">
      <c r="A58" s="461" t="s">
        <v>536</v>
      </c>
      <c r="B58" s="523">
        <f>G33*D$4+G58*D$5</f>
        <v>0</v>
      </c>
      <c r="C58" s="523">
        <f>H33*D$4+H58*D$5</f>
        <v>0</v>
      </c>
      <c r="D58" s="523">
        <f>I33*D$4+I58*D$5</f>
        <v>0</v>
      </c>
      <c r="F58" s="461" t="s">
        <v>536</v>
      </c>
      <c r="G58" s="523">
        <f t="shared" si="14"/>
        <v>0</v>
      </c>
      <c r="H58" s="523">
        <f t="shared" si="14"/>
        <v>0</v>
      </c>
      <c r="I58" s="523">
        <f t="shared" si="14"/>
        <v>0</v>
      </c>
      <c r="K58" s="435">
        <f>O58*(U58+V58+T58)+'Interdisciplinary Graduate'!B53</f>
        <v>0</v>
      </c>
      <c r="L58" s="435">
        <f>O58*(V58+W58+U58)+'Interdisciplinary Graduate'!C53</f>
        <v>0</v>
      </c>
      <c r="M58" s="435">
        <f>O58*(V58+W58+X58+Y58)+'Interdisciplinary Graduate'!D53</f>
        <v>0</v>
      </c>
      <c r="O58" s="968"/>
      <c r="P58"/>
      <c r="Q58" s="461" t="s">
        <v>536</v>
      </c>
      <c r="R58" s="505"/>
      <c r="S58" s="432"/>
      <c r="T58" s="432"/>
      <c r="U58" s="505"/>
      <c r="V58" s="505"/>
      <c r="W58" s="505"/>
      <c r="X58" s="505"/>
      <c r="Y58" s="505"/>
    </row>
    <row r="59" spans="1:25">
      <c r="A59" s="467" t="s">
        <v>520</v>
      </c>
      <c r="B59" s="523">
        <f>G34*D$4+G59*D$5</f>
        <v>0</v>
      </c>
      <c r="C59" s="523">
        <f>H34*D$4+H59*D$5</f>
        <v>0</v>
      </c>
      <c r="D59" s="523">
        <f>I34*D$4+I59*D$5</f>
        <v>0</v>
      </c>
      <c r="F59" s="467" t="s">
        <v>520</v>
      </c>
      <c r="G59" s="523">
        <f t="shared" si="14"/>
        <v>0</v>
      </c>
      <c r="H59" s="523">
        <f t="shared" si="14"/>
        <v>0</v>
      </c>
      <c r="I59" s="523">
        <f t="shared" si="14"/>
        <v>0</v>
      </c>
      <c r="K59" s="435">
        <f>O59*(U59+V59+T59)+'Interdisciplinary Graduate'!B54</f>
        <v>0</v>
      </c>
      <c r="L59" s="435">
        <f>O59*(V59+W59+U59)+'Interdisciplinary Graduate'!C54</f>
        <v>0</v>
      </c>
      <c r="M59" s="435">
        <f>O59*(V59+W59+X59+Y59)+'Interdisciplinary Graduate'!D54</f>
        <v>0</v>
      </c>
      <c r="O59" s="968"/>
      <c r="P59"/>
      <c r="Q59" s="527" t="s">
        <v>520</v>
      </c>
      <c r="R59" s="505"/>
      <c r="S59" s="432"/>
      <c r="T59" s="432"/>
      <c r="U59" s="505"/>
      <c r="V59" s="505"/>
      <c r="W59" s="505"/>
      <c r="X59" s="505"/>
      <c r="Y59" s="505"/>
    </row>
    <row r="60" spans="1:25">
      <c r="A60" s="468"/>
      <c r="B60" s="471">
        <f>SUM(B42:B59)</f>
        <v>1</v>
      </c>
      <c r="C60" s="471">
        <f>SUM(C42:C59)</f>
        <v>0.99999999999999989</v>
      </c>
      <c r="D60" s="471">
        <f>SUM(D42:D59)</f>
        <v>1</v>
      </c>
      <c r="F60" s="446"/>
      <c r="G60" s="471">
        <f>SUM(G42:G59)</f>
        <v>0.99999999999999978</v>
      </c>
      <c r="H60" s="471">
        <f>SUM(H42:H59)</f>
        <v>1</v>
      </c>
      <c r="I60" s="471">
        <f>SUM(I42:I59)</f>
        <v>0.99999999999999989</v>
      </c>
      <c r="K60" s="447">
        <f>SUM(K42:K59)</f>
        <v>7209.4730236434734</v>
      </c>
      <c r="L60" s="447">
        <f>SUM(L42:L59)</f>
        <v>7275.3993728203568</v>
      </c>
      <c r="M60" s="447">
        <f>SUM(M42:M59)</f>
        <v>7280.7422828919543</v>
      </c>
      <c r="O60" s="968"/>
      <c r="P60"/>
      <c r="Q60" s="530"/>
      <c r="R60" s="531">
        <f t="shared" ref="R60:Y60" si="15">SUM(R42:R59)</f>
        <v>833</v>
      </c>
      <c r="S60" s="531">
        <f t="shared" si="15"/>
        <v>932</v>
      </c>
      <c r="T60" s="531">
        <f t="shared" si="15"/>
        <v>954</v>
      </c>
      <c r="U60" s="529">
        <f t="shared" si="15"/>
        <v>988</v>
      </c>
      <c r="V60" s="529">
        <f t="shared" si="15"/>
        <v>1040</v>
      </c>
      <c r="W60" s="529">
        <f t="shared" si="15"/>
        <v>981</v>
      </c>
      <c r="X60" s="1638">
        <f t="shared" si="15"/>
        <v>989</v>
      </c>
      <c r="Y60" s="529">
        <f t="shared" si="15"/>
        <v>0</v>
      </c>
    </row>
    <row r="61" spans="1:25">
      <c r="L61"/>
      <c r="M61"/>
      <c r="O61" s="966"/>
      <c r="P61"/>
      <c r="Q61" s="42"/>
      <c r="R61" s="496"/>
      <c r="S61" s="496"/>
      <c r="T61" s="496"/>
      <c r="U61" s="496"/>
      <c r="V61" s="496"/>
      <c r="W61" s="496"/>
      <c r="X61" s="496"/>
      <c r="Y61" s="496"/>
    </row>
    <row r="62" spans="1:25">
      <c r="L62"/>
      <c r="M62"/>
      <c r="O62" s="966"/>
      <c r="P62"/>
      <c r="Q62" s="42"/>
      <c r="R62" s="42"/>
      <c r="U62" s="149"/>
      <c r="V62" s="149"/>
      <c r="W62" s="149"/>
      <c r="X62" s="149"/>
      <c r="Y62" s="149"/>
    </row>
    <row r="63" spans="1:25">
      <c r="E63"/>
      <c r="K63" s="456" t="s">
        <v>568</v>
      </c>
      <c r="L63" s="456"/>
      <c r="M63" s="456"/>
      <c r="O63" s="966"/>
      <c r="P63"/>
      <c r="Q63" s="947" t="s">
        <v>561</v>
      </c>
      <c r="R63" s="1046"/>
      <c r="S63" s="1046"/>
      <c r="T63" s="1046"/>
      <c r="U63" s="1426"/>
      <c r="V63" s="1426"/>
      <c r="W63" s="1426"/>
      <c r="X63" s="1426"/>
      <c r="Y63" s="1426"/>
    </row>
    <row r="64" spans="1:25" ht="38.25">
      <c r="A64" s="458" t="s">
        <v>974</v>
      </c>
      <c r="B64" s="211"/>
      <c r="C64" s="211"/>
      <c r="D64" s="211"/>
      <c r="E64"/>
      <c r="K64" s="460" t="s">
        <v>840</v>
      </c>
      <c r="L64" s="460" t="s">
        <v>1213</v>
      </c>
      <c r="M64" s="460" t="s">
        <v>1588</v>
      </c>
      <c r="O64" s="966"/>
      <c r="P64"/>
      <c r="Q64" s="434"/>
      <c r="R64" s="433" t="s">
        <v>507</v>
      </c>
      <c r="S64" s="433" t="s">
        <v>508</v>
      </c>
      <c r="T64" s="433" t="s">
        <v>509</v>
      </c>
      <c r="U64" s="433" t="s">
        <v>821</v>
      </c>
      <c r="V64" s="433" t="s">
        <v>963</v>
      </c>
      <c r="W64" s="433" t="s">
        <v>1473</v>
      </c>
      <c r="X64" s="433" t="s">
        <v>1572</v>
      </c>
      <c r="Y64" s="433" t="s">
        <v>1165</v>
      </c>
    </row>
    <row r="65" spans="1:25">
      <c r="A65" s="459"/>
      <c r="B65" s="460" t="s">
        <v>1666</v>
      </c>
      <c r="C65" s="460"/>
      <c r="D65" s="460" t="s">
        <v>1679</v>
      </c>
      <c r="E65"/>
      <c r="F65" s="460" t="s">
        <v>1680</v>
      </c>
      <c r="G65" s="460" t="s">
        <v>976</v>
      </c>
      <c r="H65" s="460" t="s">
        <v>977</v>
      </c>
      <c r="K65" s="435">
        <f>O65*(T65+V65+U65)/5</f>
        <v>36.527088715318257</v>
      </c>
      <c r="L65" s="462">
        <f>O65*SUM(W65,U65,V65)/5</f>
        <v>36.527088715318257</v>
      </c>
      <c r="M65" s="435">
        <f>O65*(V65+W65+X65+Y65)/5</f>
        <v>35.928283982280256</v>
      </c>
      <c r="O65" s="926">
        <f>O42</f>
        <v>2.9940236651900212</v>
      </c>
      <c r="P65"/>
      <c r="Q65" s="461" t="s">
        <v>513</v>
      </c>
      <c r="R65" s="508">
        <v>13</v>
      </c>
      <c r="S65" s="509">
        <v>14</v>
      </c>
      <c r="T65" s="509">
        <v>21</v>
      </c>
      <c r="U65" s="509">
        <v>21</v>
      </c>
      <c r="V65" s="508">
        <f>'Degree data'!F77</f>
        <v>19</v>
      </c>
      <c r="W65" s="1525">
        <f>'Degree data'!G77</f>
        <v>21</v>
      </c>
      <c r="X65" s="1204">
        <f>'Degree data'!H77</f>
        <v>20</v>
      </c>
      <c r="Y65" s="508">
        <f>3*'What If Data'!O25</f>
        <v>0</v>
      </c>
    </row>
    <row r="66" spans="1:25">
      <c r="A66" s="461" t="s">
        <v>513</v>
      </c>
      <c r="B66" s="435">
        <f>D17*0.6*I17/(0.6*I17+0.4*I42)</f>
        <v>1894909.1038870618</v>
      </c>
      <c r="C66" s="435"/>
      <c r="D66" s="435">
        <f>B66*M17/(M17+M42+M65)</f>
        <v>660943.14209338627</v>
      </c>
      <c r="E66" s="455"/>
      <c r="F66" s="435">
        <f>B66-D66</f>
        <v>1233965.9617936756</v>
      </c>
      <c r="G66" s="435">
        <f>D66/((M17/3)/O17)</f>
        <v>18025.76138602629</v>
      </c>
      <c r="H66" s="435">
        <f>F66/(((M42+M65)/3)/O42)</f>
        <v>17628.138892332943</v>
      </c>
      <c r="K66" s="435">
        <f t="shared" ref="K66:K76" si="16">O66*(T66+V66+U66)/5</f>
        <v>1.9644501650165012</v>
      </c>
      <c r="L66" s="462">
        <f t="shared" ref="L66:L76" si="17">O66*SUM(W66,U66,V66)/5</f>
        <v>2.9466752475247522</v>
      </c>
      <c r="M66" s="435">
        <f t="shared" ref="M66:M76" si="18">O66*(V66+W66+X66+Y66)/5</f>
        <v>3.9289003300330023</v>
      </c>
      <c r="O66" s="926">
        <f t="shared" ref="O66:O76" si="19">O43</f>
        <v>1.6370418041804178</v>
      </c>
      <c r="P66"/>
      <c r="Q66" s="461" t="s">
        <v>6</v>
      </c>
      <c r="R66" s="508">
        <v>6</v>
      </c>
      <c r="S66" s="509">
        <v>4</v>
      </c>
      <c r="T66" s="509">
        <v>0</v>
      </c>
      <c r="U66" s="509">
        <v>1</v>
      </c>
      <c r="V66" s="508">
        <f>'Degree data'!F78</f>
        <v>5</v>
      </c>
      <c r="W66" s="1525">
        <f>'Degree data'!G78</f>
        <v>3</v>
      </c>
      <c r="X66" s="1204">
        <f>'Degree data'!H78</f>
        <v>4</v>
      </c>
      <c r="Y66" s="508">
        <f>3*'What If Data'!O26</f>
        <v>0</v>
      </c>
    </row>
    <row r="67" spans="1:25">
      <c r="A67" s="461" t="s">
        <v>6</v>
      </c>
      <c r="B67" s="435">
        <f t="shared" ref="B67:B77" si="20">D18*0.6*I18/(0.6*I18+0.4*I43)</f>
        <v>1023283.2587463466</v>
      </c>
      <c r="C67" s="435"/>
      <c r="D67" s="435">
        <f t="shared" ref="D67:D77" si="21">B67*M18/(M18+M43+M66)</f>
        <v>93485.967011646295</v>
      </c>
      <c r="E67" s="455"/>
      <c r="F67" s="435">
        <f t="shared" ref="F67:F77" si="22">B67-D67</f>
        <v>929797.29173470032</v>
      </c>
      <c r="G67" s="435">
        <f t="shared" ref="G67:G77" si="23">D67/((M18/3)/O18)</f>
        <v>28045.790103493888</v>
      </c>
      <c r="H67" s="435">
        <f t="shared" ref="H67:H77" si="24">F67/(((M43+M66)/3)/O43)</f>
        <v>9638.5344685698019</v>
      </c>
      <c r="K67" s="435">
        <f t="shared" si="16"/>
        <v>0</v>
      </c>
      <c r="L67" s="462">
        <f t="shared" si="17"/>
        <v>0</v>
      </c>
      <c r="M67" s="435">
        <f t="shared" si="18"/>
        <v>0</v>
      </c>
      <c r="O67" s="926">
        <f t="shared" si="19"/>
        <v>1.46</v>
      </c>
      <c r="P67"/>
      <c r="Q67" s="461" t="s">
        <v>8</v>
      </c>
      <c r="R67" s="508">
        <v>0</v>
      </c>
      <c r="S67" s="509">
        <v>2</v>
      </c>
      <c r="T67" s="509">
        <v>0</v>
      </c>
      <c r="U67" s="509">
        <v>0</v>
      </c>
      <c r="V67" s="508">
        <f>'Degree data'!F79</f>
        <v>0</v>
      </c>
      <c r="W67" s="1525">
        <f>'Degree data'!G79</f>
        <v>0</v>
      </c>
      <c r="X67" s="1204">
        <f>'Degree data'!H79</f>
        <v>0</v>
      </c>
      <c r="Y67" s="508">
        <f>3*'What If Data'!O27</f>
        <v>0</v>
      </c>
    </row>
    <row r="68" spans="1:25">
      <c r="A68" s="461" t="s">
        <v>8</v>
      </c>
      <c r="B68" s="435">
        <f t="shared" si="20"/>
        <v>983481.31086726033</v>
      </c>
      <c r="C68" s="435"/>
      <c r="D68" s="841">
        <f t="shared" si="21"/>
        <v>330174.66905743623</v>
      </c>
      <c r="E68"/>
      <c r="F68" s="841">
        <f t="shared" si="22"/>
        <v>653306.64180982416</v>
      </c>
      <c r="G68" s="435">
        <f t="shared" si="23"/>
        <v>15007.939502610738</v>
      </c>
      <c r="H68" s="435">
        <f t="shared" si="24"/>
        <v>8596.1520885883365</v>
      </c>
      <c r="K68" s="435">
        <f t="shared" si="16"/>
        <v>19.908000000000005</v>
      </c>
      <c r="L68" s="462">
        <f t="shared" si="17"/>
        <v>29.309000000000005</v>
      </c>
      <c r="M68" s="435">
        <f t="shared" si="18"/>
        <v>37.604000000000006</v>
      </c>
      <c r="O68" s="926">
        <f t="shared" si="19"/>
        <v>2.7650000000000006</v>
      </c>
      <c r="P68"/>
      <c r="Q68" s="463" t="s">
        <v>2</v>
      </c>
      <c r="R68" s="508">
        <v>7</v>
      </c>
      <c r="S68" s="509">
        <v>4</v>
      </c>
      <c r="T68" s="509">
        <v>9</v>
      </c>
      <c r="U68" s="509">
        <v>8</v>
      </c>
      <c r="V68" s="508">
        <f>'Degree data'!F80</f>
        <v>19</v>
      </c>
      <c r="W68" s="1525">
        <f>'Degree data'!G80</f>
        <v>26</v>
      </c>
      <c r="X68" s="1204">
        <f>'Degree data'!H80</f>
        <v>23</v>
      </c>
      <c r="Y68" s="508">
        <f>3*'What If Data'!O28</f>
        <v>0</v>
      </c>
    </row>
    <row r="69" spans="1:25">
      <c r="A69" s="463" t="s">
        <v>2</v>
      </c>
      <c r="B69" s="443">
        <f t="shared" si="20"/>
        <v>1137576.728370989</v>
      </c>
      <c r="C69" s="443"/>
      <c r="D69" s="842">
        <f t="shared" si="21"/>
        <v>190099.76660962912</v>
      </c>
      <c r="E69"/>
      <c r="F69" s="842">
        <f t="shared" si="22"/>
        <v>947476.96176135982</v>
      </c>
      <c r="G69" s="443">
        <f t="shared" si="23"/>
        <v>15007.93950261073</v>
      </c>
      <c r="H69" s="443">
        <f t="shared" si="24"/>
        <v>16279.698989689557</v>
      </c>
      <c r="K69" s="435">
        <f t="shared" si="16"/>
        <v>0</v>
      </c>
      <c r="L69" s="462">
        <f t="shared" si="17"/>
        <v>0</v>
      </c>
      <c r="M69" s="435">
        <f t="shared" si="18"/>
        <v>0</v>
      </c>
      <c r="O69" s="926">
        <f t="shared" si="19"/>
        <v>2.7690000000000001</v>
      </c>
      <c r="P69"/>
      <c r="Q69" s="461" t="s">
        <v>10</v>
      </c>
      <c r="R69" s="508">
        <v>0</v>
      </c>
      <c r="S69" s="509">
        <v>0</v>
      </c>
      <c r="T69" s="509">
        <v>0</v>
      </c>
      <c r="U69" s="509">
        <v>0</v>
      </c>
      <c r="V69" s="508">
        <f>'Degree data'!F81</f>
        <v>0</v>
      </c>
      <c r="W69" s="1525">
        <f>'Degree data'!G81</f>
        <v>0</v>
      </c>
      <c r="X69" s="1204">
        <f>'Degree data'!H81</f>
        <v>0</v>
      </c>
      <c r="Y69" s="508">
        <f>3*'What If Data'!O29</f>
        <v>0</v>
      </c>
    </row>
    <row r="70" spans="1:25">
      <c r="A70" s="461" t="s">
        <v>10</v>
      </c>
      <c r="B70" s="434">
        <f t="shared" si="20"/>
        <v>1415232.0972218197</v>
      </c>
      <c r="C70" s="434"/>
      <c r="D70" s="841">
        <f t="shared" si="21"/>
        <v>110972.08991764954</v>
      </c>
      <c r="E70"/>
      <c r="F70" s="841">
        <f t="shared" si="22"/>
        <v>1304260.0073041702</v>
      </c>
      <c r="G70" s="435">
        <f t="shared" si="23"/>
        <v>17522.019599752661</v>
      </c>
      <c r="H70" s="435">
        <f t="shared" si="24"/>
        <v>16303.250091302127</v>
      </c>
      <c r="K70" s="435">
        <f t="shared" si="16"/>
        <v>2.6349949799196795</v>
      </c>
      <c r="L70" s="462">
        <f t="shared" si="17"/>
        <v>1.5809969879518078</v>
      </c>
      <c r="M70" s="435">
        <f t="shared" si="18"/>
        <v>1.5809969879518078</v>
      </c>
      <c r="O70" s="926">
        <f t="shared" si="19"/>
        <v>2.6349949799196795</v>
      </c>
      <c r="P70"/>
      <c r="Q70" s="461" t="s">
        <v>4</v>
      </c>
      <c r="R70" s="508">
        <v>18</v>
      </c>
      <c r="S70" s="509">
        <v>7</v>
      </c>
      <c r="T70" s="509">
        <v>4</v>
      </c>
      <c r="U70" s="509">
        <v>1</v>
      </c>
      <c r="V70" s="508">
        <f>'Degree data'!F82</f>
        <v>0</v>
      </c>
      <c r="W70" s="1525">
        <f>'Degree data'!G82</f>
        <v>2</v>
      </c>
      <c r="X70" s="1204">
        <f>'Degree data'!H82</f>
        <v>1</v>
      </c>
      <c r="Y70" s="508">
        <f>3*'What If Data'!O30</f>
        <v>0</v>
      </c>
    </row>
    <row r="71" spans="1:25">
      <c r="A71" s="461" t="s">
        <v>4</v>
      </c>
      <c r="B71" s="435">
        <f t="shared" si="20"/>
        <v>1849970.0731474173</v>
      </c>
      <c r="C71" s="435"/>
      <c r="D71" s="841">
        <f t="shared" si="21"/>
        <v>998754.41630511777</v>
      </c>
      <c r="E71"/>
      <c r="F71" s="841">
        <f t="shared" si="22"/>
        <v>851215.6568422995</v>
      </c>
      <c r="G71" s="435">
        <f t="shared" si="23"/>
        <v>17522.019599752661</v>
      </c>
      <c r="H71" s="435">
        <f t="shared" si="24"/>
        <v>15514.258630175565</v>
      </c>
      <c r="K71" s="435">
        <f t="shared" si="16"/>
        <v>38.214129689807976</v>
      </c>
      <c r="L71" s="462">
        <f t="shared" si="17"/>
        <v>39.82881122599705</v>
      </c>
      <c r="M71" s="435">
        <f t="shared" si="18"/>
        <v>38.752356868537667</v>
      </c>
      <c r="O71" s="926">
        <f t="shared" si="19"/>
        <v>2.6911358936484491</v>
      </c>
      <c r="P71"/>
      <c r="Q71" s="461" t="s">
        <v>14</v>
      </c>
      <c r="R71" s="508">
        <v>0</v>
      </c>
      <c r="S71" s="509">
        <v>10</v>
      </c>
      <c r="T71" s="509">
        <v>20</v>
      </c>
      <c r="U71" s="509">
        <v>26</v>
      </c>
      <c r="V71" s="508">
        <f>'Degree data'!F83</f>
        <v>25</v>
      </c>
      <c r="W71" s="1525">
        <f>'Degree data'!G83</f>
        <v>23</v>
      </c>
      <c r="X71" s="1204">
        <f>'Degree data'!H83</f>
        <v>24</v>
      </c>
      <c r="Y71" s="508">
        <f>3*'What If Data'!O31</f>
        <v>0</v>
      </c>
    </row>
    <row r="72" spans="1:25">
      <c r="A72" s="461" t="s">
        <v>14</v>
      </c>
      <c r="B72" s="434">
        <f t="shared" si="20"/>
        <v>97751.538977738775</v>
      </c>
      <c r="C72" s="434"/>
      <c r="D72" s="841">
        <f t="shared" si="21"/>
        <v>9018.1029707718426</v>
      </c>
      <c r="E72"/>
      <c r="F72" s="841">
        <f t="shared" si="22"/>
        <v>88733.436006966935</v>
      </c>
      <c r="G72" s="435">
        <f t="shared" si="23"/>
        <v>16905.56195780565</v>
      </c>
      <c r="H72" s="435">
        <f t="shared" si="24"/>
        <v>15844.80372113778</v>
      </c>
      <c r="K72" s="435">
        <f>O72*(T72+V72+U72)/5</f>
        <v>36.715014736842093</v>
      </c>
      <c r="L72" s="462">
        <f t="shared" si="17"/>
        <v>18.774723444976072</v>
      </c>
      <c r="M72" s="435">
        <f t="shared" si="18"/>
        <v>0</v>
      </c>
      <c r="O72" s="926">
        <f t="shared" si="19"/>
        <v>2.0860803827751191</v>
      </c>
      <c r="P72"/>
      <c r="Q72" s="463" t="s">
        <v>17</v>
      </c>
      <c r="R72" s="508">
        <v>15</v>
      </c>
      <c r="S72" s="509">
        <v>18</v>
      </c>
      <c r="T72" s="509">
        <v>43</v>
      </c>
      <c r="U72" s="509">
        <v>45</v>
      </c>
      <c r="V72" s="508">
        <f>'Degree data'!F84</f>
        <v>0</v>
      </c>
      <c r="W72" s="1525">
        <f>'Degree data'!G84</f>
        <v>0</v>
      </c>
      <c r="X72" s="1204">
        <f>'Degree data'!H84</f>
        <v>0</v>
      </c>
      <c r="Y72" s="508">
        <f>3*'What If Data'!O32</f>
        <v>0</v>
      </c>
    </row>
    <row r="73" spans="1:25">
      <c r="A73" s="463" t="s">
        <v>17</v>
      </c>
      <c r="B73" s="443">
        <f t="shared" si="20"/>
        <v>1250193.5311368946</v>
      </c>
      <c r="C73" s="443"/>
      <c r="D73" s="842">
        <f t="shared" si="21"/>
        <v>95660.316967014922</v>
      </c>
      <c r="E73"/>
      <c r="F73" s="842">
        <f t="shared" si="22"/>
        <v>1154533.2141698797</v>
      </c>
      <c r="G73" s="443">
        <f t="shared" si="23"/>
        <v>19132.063393402987</v>
      </c>
      <c r="H73" s="443">
        <f t="shared" si="24"/>
        <v>12282.372766681841</v>
      </c>
      <c r="K73" s="435">
        <f>O73*(T73+V73+U73)/5</f>
        <v>0</v>
      </c>
      <c r="L73" s="462">
        <f t="shared" si="17"/>
        <v>0</v>
      </c>
      <c r="M73" s="435">
        <f t="shared" si="18"/>
        <v>0</v>
      </c>
      <c r="O73" s="926">
        <f t="shared" si="19"/>
        <v>2.7690000000000001</v>
      </c>
      <c r="P73"/>
      <c r="Q73" s="461" t="s">
        <v>316</v>
      </c>
      <c r="R73" s="508">
        <v>0</v>
      </c>
      <c r="S73" s="509">
        <v>0</v>
      </c>
      <c r="T73" s="509">
        <v>0</v>
      </c>
      <c r="U73" s="509">
        <v>0</v>
      </c>
      <c r="V73" s="508">
        <f>'Degree data'!F85</f>
        <v>0</v>
      </c>
      <c r="W73" s="1525">
        <f>'Degree data'!G85</f>
        <v>0</v>
      </c>
      <c r="X73" s="1204">
        <f>'Degree data'!H85</f>
        <v>0</v>
      </c>
      <c r="Y73" s="508">
        <f>3*'What If Data'!O33</f>
        <v>0</v>
      </c>
    </row>
    <row r="74" spans="1:25">
      <c r="A74" s="461" t="s">
        <v>316</v>
      </c>
      <c r="B74" s="434">
        <f t="shared" si="20"/>
        <v>918416.42181001964</v>
      </c>
      <c r="C74" s="434"/>
      <c r="D74" s="841"/>
      <c r="E74"/>
      <c r="F74" s="841">
        <f t="shared" si="22"/>
        <v>918416.42181001964</v>
      </c>
      <c r="G74" s="435"/>
      <c r="H74" s="435">
        <f t="shared" si="24"/>
        <v>16303.250091302125</v>
      </c>
      <c r="K74" s="435">
        <f t="shared" si="16"/>
        <v>0</v>
      </c>
      <c r="L74" s="462">
        <f t="shared" si="17"/>
        <v>0</v>
      </c>
      <c r="M74" s="435">
        <f t="shared" si="18"/>
        <v>0</v>
      </c>
      <c r="O74" s="926">
        <f t="shared" si="19"/>
        <v>2.5786363770904241</v>
      </c>
      <c r="P74"/>
      <c r="Q74" s="461" t="s">
        <v>7</v>
      </c>
      <c r="R74" s="508">
        <v>0</v>
      </c>
      <c r="S74" s="509">
        <v>0</v>
      </c>
      <c r="T74" s="509">
        <v>0</v>
      </c>
      <c r="U74" s="509">
        <v>0</v>
      </c>
      <c r="V74" s="508">
        <f>'Degree data'!F86</f>
        <v>0</v>
      </c>
      <c r="W74" s="1525">
        <f>'Degree data'!G86</f>
        <v>0</v>
      </c>
      <c r="X74" s="1204">
        <f>'Degree data'!H86</f>
        <v>0</v>
      </c>
      <c r="Y74" s="508">
        <f>3*'What If Data'!O34</f>
        <v>0</v>
      </c>
    </row>
    <row r="75" spans="1:25">
      <c r="A75" s="461" t="s">
        <v>7</v>
      </c>
      <c r="B75" s="435">
        <f t="shared" si="20"/>
        <v>6274920.5957093891</v>
      </c>
      <c r="C75" s="435"/>
      <c r="D75" s="841">
        <f t="shared" si="21"/>
        <v>1360875.9210730786</v>
      </c>
      <c r="E75"/>
      <c r="F75" s="841">
        <f t="shared" si="22"/>
        <v>4914044.67463631</v>
      </c>
      <c r="G75" s="435">
        <f t="shared" si="23"/>
        <v>17522.019599752668</v>
      </c>
      <c r="H75" s="435">
        <f t="shared" si="24"/>
        <v>15182.431834681989</v>
      </c>
      <c r="K75" s="435">
        <f t="shared" si="16"/>
        <v>14.816119416498996</v>
      </c>
      <c r="L75" s="462">
        <f t="shared" si="17"/>
        <v>13.860240744466802</v>
      </c>
      <c r="M75" s="435">
        <f t="shared" si="18"/>
        <v>9.0808473843058355</v>
      </c>
      <c r="O75" s="926">
        <f t="shared" si="19"/>
        <v>2.3896966800804829</v>
      </c>
      <c r="P75"/>
      <c r="Q75" s="461" t="s">
        <v>9</v>
      </c>
      <c r="R75" s="508">
        <v>7</v>
      </c>
      <c r="S75" s="509">
        <v>10</v>
      </c>
      <c r="T75" s="509">
        <v>14</v>
      </c>
      <c r="U75" s="509">
        <v>15</v>
      </c>
      <c r="V75" s="508">
        <f>'Degree data'!F87</f>
        <v>2</v>
      </c>
      <c r="W75" s="1525">
        <f>'Degree data'!G87</f>
        <v>12</v>
      </c>
      <c r="X75" s="1204">
        <f>'Degree data'!H87</f>
        <v>5</v>
      </c>
      <c r="Y75" s="508">
        <f>3*'What If Data'!O35</f>
        <v>0</v>
      </c>
    </row>
    <row r="76" spans="1:25">
      <c r="A76" s="461" t="s">
        <v>9</v>
      </c>
      <c r="B76" s="435">
        <f t="shared" si="20"/>
        <v>1337376.4531177918</v>
      </c>
      <c r="C76" s="435"/>
      <c r="D76" s="841">
        <f t="shared" si="21"/>
        <v>297134.83782774751</v>
      </c>
      <c r="E76"/>
      <c r="F76" s="841">
        <f t="shared" si="22"/>
        <v>1040241.6152900443</v>
      </c>
      <c r="G76" s="435">
        <f t="shared" si="23"/>
        <v>17478.560998246317</v>
      </c>
      <c r="H76" s="435">
        <f t="shared" si="24"/>
        <v>14069.997333949625</v>
      </c>
      <c r="K76" s="435">
        <f t="shared" si="16"/>
        <v>93.620315151515172</v>
      </c>
      <c r="L76" s="462">
        <f t="shared" si="17"/>
        <v>83.734940259740284</v>
      </c>
      <c r="M76" s="435">
        <f t="shared" si="18"/>
        <v>66.87165367965369</v>
      </c>
      <c r="O76" s="926">
        <f t="shared" si="19"/>
        <v>2.907463203463204</v>
      </c>
      <c r="P76"/>
      <c r="Q76" s="463" t="s">
        <v>5</v>
      </c>
      <c r="R76" s="508">
        <v>53</v>
      </c>
      <c r="S76" s="509">
        <v>81</v>
      </c>
      <c r="T76" s="509">
        <v>54</v>
      </c>
      <c r="U76" s="509">
        <v>71</v>
      </c>
      <c r="V76" s="508">
        <f>'Degree data'!F88</f>
        <v>36</v>
      </c>
      <c r="W76" s="1525">
        <f>'Degree data'!G88</f>
        <v>37</v>
      </c>
      <c r="X76" s="1204">
        <f>'Degree data'!H88</f>
        <v>42</v>
      </c>
      <c r="Y76" s="508">
        <f>3*'What If Data'!O36</f>
        <v>0</v>
      </c>
    </row>
    <row r="77" spans="1:25">
      <c r="A77" s="463" t="s">
        <v>5</v>
      </c>
      <c r="B77" s="443">
        <f t="shared" si="20"/>
        <v>919037.87538913731</v>
      </c>
      <c r="C77" s="443"/>
      <c r="D77" s="842">
        <f t="shared" si="21"/>
        <v>285658.2979288479</v>
      </c>
      <c r="E77"/>
      <c r="F77" s="842">
        <f t="shared" si="22"/>
        <v>633379.57746028947</v>
      </c>
      <c r="G77" s="443">
        <f t="shared" si="23"/>
        <v>17489.369208880689</v>
      </c>
      <c r="H77" s="443">
        <f t="shared" si="24"/>
        <v>17118.490334893118</v>
      </c>
      <c r="K77" s="434"/>
      <c r="L77" s="462"/>
      <c r="M77" s="434"/>
      <c r="O77" s="968"/>
      <c r="P77"/>
      <c r="Q77" s="461"/>
      <c r="R77" s="505"/>
      <c r="S77" s="432"/>
      <c r="T77" s="432"/>
      <c r="U77" s="432"/>
      <c r="V77" s="432"/>
      <c r="W77" s="432"/>
      <c r="X77" s="432"/>
      <c r="Y77" s="432"/>
    </row>
    <row r="78" spans="1:25">
      <c r="A78" s="461"/>
      <c r="B78" s="434"/>
      <c r="C78" s="434"/>
      <c r="D78" s="841"/>
      <c r="E78"/>
      <c r="F78" s="841"/>
      <c r="G78" s="841"/>
      <c r="H78" s="841"/>
      <c r="K78" s="435">
        <f>O78*(T78+V78+U78)/5</f>
        <v>0</v>
      </c>
      <c r="L78" s="462">
        <f>O78*SUM(W78,U78,V78)/5</f>
        <v>0</v>
      </c>
      <c r="M78" s="435">
        <f>O78*(V78+W78+X78+Y78)/5</f>
        <v>0</v>
      </c>
      <c r="O78" s="968"/>
      <c r="P78"/>
      <c r="Q78" s="461" t="s">
        <v>516</v>
      </c>
      <c r="R78" s="508"/>
      <c r="S78" s="508"/>
      <c r="T78" s="508"/>
      <c r="U78" s="432"/>
      <c r="V78" s="432"/>
      <c r="W78" s="432"/>
      <c r="X78" s="432"/>
      <c r="Y78" s="432"/>
    </row>
    <row r="79" spans="1:25">
      <c r="A79" s="461" t="s">
        <v>516</v>
      </c>
      <c r="B79" s="435"/>
      <c r="C79" s="435"/>
      <c r="D79" s="841"/>
      <c r="E79"/>
      <c r="F79" s="841"/>
      <c r="G79" s="841"/>
      <c r="H79" s="841"/>
      <c r="K79" s="435">
        <f>O79*(T79+V79+U79)/5</f>
        <v>0</v>
      </c>
      <c r="L79" s="462">
        <f>O79*SUM(W79,U79,V79)/5</f>
        <v>0</v>
      </c>
      <c r="M79" s="435">
        <f>O79*(V79+W79+X79+Y79)/5</f>
        <v>0</v>
      </c>
      <c r="O79" s="968"/>
      <c r="P79"/>
      <c r="Q79" s="461" t="s">
        <v>537</v>
      </c>
      <c r="R79" s="505"/>
      <c r="S79" s="432"/>
      <c r="T79" s="432"/>
      <c r="U79" s="432"/>
      <c r="V79" s="432"/>
      <c r="W79" s="432"/>
      <c r="X79" s="432"/>
      <c r="Y79" s="432"/>
    </row>
    <row r="80" spans="1:25">
      <c r="A80" s="461" t="s">
        <v>537</v>
      </c>
      <c r="B80" s="434"/>
      <c r="C80" s="434"/>
      <c r="D80" s="841"/>
      <c r="E80"/>
      <c r="F80" s="841"/>
      <c r="G80" s="841"/>
      <c r="H80" s="841"/>
      <c r="K80" s="435">
        <f>O80*(T80+V80+U80)/5</f>
        <v>0</v>
      </c>
      <c r="L80" s="462">
        <f>O80*SUM(W80,U80,V80)/5</f>
        <v>0</v>
      </c>
      <c r="M80" s="435">
        <f>O80*(V80+W80+X80+Y80)/5</f>
        <v>0</v>
      </c>
      <c r="O80" s="968"/>
      <c r="P80"/>
      <c r="Q80" s="463" t="s">
        <v>518</v>
      </c>
      <c r="R80" s="505"/>
      <c r="S80" s="432"/>
      <c r="T80" s="432"/>
      <c r="U80" s="432"/>
      <c r="V80" s="432"/>
      <c r="W80" s="432"/>
      <c r="X80" s="432"/>
      <c r="Y80" s="432"/>
    </row>
    <row r="81" spans="1:25">
      <c r="A81" s="463" t="s">
        <v>518</v>
      </c>
      <c r="B81" s="443"/>
      <c r="C81" s="443"/>
      <c r="D81" s="842"/>
      <c r="E81"/>
      <c r="F81" s="842"/>
      <c r="G81" s="842"/>
      <c r="H81" s="842"/>
      <c r="K81" s="435">
        <f>O81*(T81+V81+U81)/5</f>
        <v>0</v>
      </c>
      <c r="L81" s="462">
        <f>O81*SUM(W81,U81,V81)/5</f>
        <v>0</v>
      </c>
      <c r="M81" s="435">
        <f>O81*(V81+W81+X81+Y81)/5</f>
        <v>0</v>
      </c>
      <c r="O81" s="968"/>
      <c r="P81"/>
      <c r="Q81" s="461" t="s">
        <v>536</v>
      </c>
      <c r="R81" s="505"/>
      <c r="S81" s="432"/>
      <c r="T81" s="432"/>
      <c r="U81" s="432"/>
      <c r="V81" s="432"/>
      <c r="W81" s="432"/>
      <c r="X81" s="432"/>
      <c r="Y81" s="432"/>
    </row>
    <row r="82" spans="1:25">
      <c r="A82" s="461" t="s">
        <v>536</v>
      </c>
      <c r="B82" s="435"/>
      <c r="C82" s="435"/>
      <c r="D82" s="841"/>
      <c r="E82"/>
      <c r="F82" s="841"/>
      <c r="G82" s="841"/>
      <c r="H82" s="841"/>
      <c r="K82" s="435">
        <f>O82*(T82+V82+U82)/5</f>
        <v>0</v>
      </c>
      <c r="L82" s="462">
        <f>O82*SUM(W82,U82,V82)/5</f>
        <v>0</v>
      </c>
      <c r="M82" s="435">
        <f>O82*(V82+W82+X82+Y82)/5</f>
        <v>0</v>
      </c>
      <c r="O82" s="968"/>
      <c r="P82"/>
      <c r="Q82" s="527" t="s">
        <v>520</v>
      </c>
      <c r="R82" s="505"/>
      <c r="S82" s="432"/>
      <c r="T82" s="432"/>
      <c r="U82" s="432"/>
      <c r="V82" s="432"/>
      <c r="W82" s="432"/>
      <c r="X82" s="432"/>
      <c r="Y82" s="432"/>
    </row>
    <row r="83" spans="1:25">
      <c r="A83" s="467" t="s">
        <v>520</v>
      </c>
      <c r="B83" s="435"/>
      <c r="C83" s="435"/>
      <c r="D83" s="841"/>
      <c r="E83"/>
      <c r="F83" s="841"/>
      <c r="G83" s="841"/>
      <c r="H83" s="841"/>
      <c r="K83" s="447">
        <f>SUM(K65:K82)</f>
        <v>244.40011285491866</v>
      </c>
      <c r="L83" s="447">
        <f>SUM(L65:L82)</f>
        <v>226.56247662597502</v>
      </c>
      <c r="M83" s="447">
        <f>SUM(M65:M82)</f>
        <v>193.74703923276229</v>
      </c>
      <c r="O83" s="968"/>
      <c r="P83"/>
      <c r="Q83" s="512"/>
      <c r="R83" s="531">
        <f>SUM(R65:R82)</f>
        <v>119</v>
      </c>
      <c r="S83" s="531">
        <f>SUM(S65:S82)</f>
        <v>150</v>
      </c>
      <c r="T83" s="531">
        <f>SUM(T65:T82)</f>
        <v>165</v>
      </c>
      <c r="U83" s="529">
        <f>SUM(U65:U82)</f>
        <v>188</v>
      </c>
      <c r="V83" s="529">
        <f>'Degree data'!F95</f>
        <v>106</v>
      </c>
      <c r="W83" s="529">
        <f>'Degree data'!G95</f>
        <v>124</v>
      </c>
      <c r="X83" s="1638">
        <f>'Degree data'!H95</f>
        <v>119</v>
      </c>
      <c r="Y83" s="1164"/>
    </row>
    <row r="84" spans="1:25">
      <c r="A84" s="468"/>
      <c r="B84" s="447">
        <f>SUM(B66:B83)</f>
        <v>19102148.988381866</v>
      </c>
      <c r="C84" s="447"/>
      <c r="D84" s="447">
        <f>SUM(D66:D83)</f>
        <v>4432777.5277623264</v>
      </c>
      <c r="E84"/>
      <c r="F84" s="447">
        <f>SUM(F66:F83)</f>
        <v>14669371.460619539</v>
      </c>
      <c r="G84" s="1091"/>
      <c r="H84" s="1091"/>
      <c r="O84" s="967"/>
      <c r="P84"/>
      <c r="S84" t="s">
        <v>1669</v>
      </c>
    </row>
    <row r="85" spans="1:25">
      <c r="E85"/>
      <c r="O85" s="967"/>
      <c r="P85"/>
    </row>
    <row r="86" spans="1:25">
      <c r="E86"/>
      <c r="K86" s="456" t="s">
        <v>569</v>
      </c>
      <c r="L86" s="456"/>
      <c r="M86" s="456"/>
      <c r="O86" s="967"/>
      <c r="P86"/>
      <c r="Q86" s="1414" t="s">
        <v>527</v>
      </c>
      <c r="R86" s="1082"/>
      <c r="S86" s="1082"/>
      <c r="T86" s="1082"/>
      <c r="U86" s="1082"/>
      <c r="V86" s="1082"/>
      <c r="W86" s="1082"/>
      <c r="X86" s="1082"/>
      <c r="Y86" s="1082"/>
    </row>
    <row r="87" spans="1:25" ht="38.25">
      <c r="A87" s="458" t="s">
        <v>975</v>
      </c>
      <c r="B87" s="211"/>
      <c r="C87" s="211"/>
      <c r="D87" s="211"/>
      <c r="E87"/>
      <c r="K87" s="460" t="s">
        <v>840</v>
      </c>
      <c r="L87" s="460" t="s">
        <v>1213</v>
      </c>
      <c r="M87" s="460" t="s">
        <v>1588</v>
      </c>
      <c r="O87" s="967"/>
      <c r="Q87" s="434"/>
      <c r="R87" s="433" t="s">
        <v>507</v>
      </c>
      <c r="S87" s="433" t="s">
        <v>508</v>
      </c>
      <c r="T87" s="433" t="s">
        <v>509</v>
      </c>
      <c r="U87" s="433" t="s">
        <v>821</v>
      </c>
      <c r="V87" s="433" t="s">
        <v>963</v>
      </c>
      <c r="W87" s="433" t="s">
        <v>1473</v>
      </c>
      <c r="X87" s="433" t="s">
        <v>1572</v>
      </c>
      <c r="Y87" s="433" t="s">
        <v>1165</v>
      </c>
    </row>
    <row r="88" spans="1:25">
      <c r="A88" s="459"/>
      <c r="B88" s="460" t="s">
        <v>1666</v>
      </c>
      <c r="C88" s="460"/>
      <c r="D88" s="460" t="s">
        <v>1667</v>
      </c>
      <c r="E88"/>
      <c r="K88" s="435">
        <f>O88*(T88+V88+U88)</f>
        <v>91572.213799836798</v>
      </c>
      <c r="L88" s="435">
        <f>O88*(U88+W88+V88)</f>
        <v>89928.494807647483</v>
      </c>
      <c r="M88" s="435">
        <f>O88*(V88+W88+X88+Y88)</f>
        <v>87988.367472604339</v>
      </c>
      <c r="O88" s="926">
        <f>O65</f>
        <v>2.9940236651900212</v>
      </c>
      <c r="P88"/>
      <c r="Q88" s="441" t="s">
        <v>513</v>
      </c>
      <c r="R88" s="435">
        <v>10140</v>
      </c>
      <c r="S88" s="435">
        <v>10529</v>
      </c>
      <c r="T88" s="435">
        <v>10242</v>
      </c>
      <c r="U88" s="435">
        <f>'SCH data and adjusts'!H104</f>
        <v>10630</v>
      </c>
      <c r="V88" s="1080">
        <f>'SCH data and adjusts'!I104</f>
        <v>9713</v>
      </c>
      <c r="W88" s="1518">
        <f>'SCH data and adjusts'!J104</f>
        <v>9693</v>
      </c>
      <c r="X88" s="985">
        <f>'SCH data and adjusts'!K104</f>
        <v>9982</v>
      </c>
      <c r="Y88" s="1080">
        <f>3*'What If Data'!G25</f>
        <v>0</v>
      </c>
    </row>
    <row r="89" spans="1:25">
      <c r="A89" s="461" t="s">
        <v>513</v>
      </c>
      <c r="B89" s="435">
        <f>D17*0.4*I42/(0.4*I42+0.6*I17)</f>
        <v>1193492.53928862</v>
      </c>
      <c r="C89" s="435"/>
      <c r="D89" s="841">
        <f t="shared" ref="D89:D100" si="25">B89/((T88+U88+V88)/3)</f>
        <v>117.06645799790289</v>
      </c>
      <c r="E89"/>
      <c r="F89" s="455"/>
      <c r="K89" s="435">
        <f t="shared" ref="K89:K98" si="26">O89*(T89+V89+U89)</f>
        <v>23262.364037403735</v>
      </c>
      <c r="L89" s="435">
        <f t="shared" ref="L89:L99" si="27">O89*(U89+W89+V89)</f>
        <v>20183.08840374037</v>
      </c>
      <c r="M89" s="435">
        <f t="shared" ref="M89:M99" si="28">O89*(V89+W89+X89+Y89)</f>
        <v>17180.753734873484</v>
      </c>
      <c r="O89" s="926">
        <f t="shared" ref="O89:O99" si="29">O66</f>
        <v>1.6370418041804178</v>
      </c>
      <c r="P89"/>
      <c r="Q89" s="441" t="s">
        <v>6</v>
      </c>
      <c r="R89" s="435">
        <v>4877</v>
      </c>
      <c r="S89" s="435">
        <v>5185</v>
      </c>
      <c r="T89" s="435">
        <v>4977</v>
      </c>
      <c r="U89" s="435">
        <f>'SCH data and adjusts'!H105</f>
        <v>4925</v>
      </c>
      <c r="V89" s="1080">
        <f>'SCH data and adjusts'!I105</f>
        <v>4308</v>
      </c>
      <c r="W89" s="1518">
        <f>'SCH data and adjusts'!J105</f>
        <v>3096</v>
      </c>
      <c r="X89" s="985">
        <f>'SCH data and adjusts'!K105</f>
        <v>3091</v>
      </c>
      <c r="Y89" s="1080">
        <f>3*'What If Data'!G26</f>
        <v>0</v>
      </c>
    </row>
    <row r="90" spans="1:25">
      <c r="A90" s="461" t="s">
        <v>6</v>
      </c>
      <c r="B90" s="435">
        <f t="shared" ref="B90:B100" si="30">D18*0.4*I43/(0.4*I43+0.6*I18)</f>
        <v>233043.32141758362</v>
      </c>
      <c r="C90" s="435"/>
      <c r="D90" s="841">
        <f t="shared" si="25"/>
        <v>49.199856738406112</v>
      </c>
      <c r="E90"/>
      <c r="K90" s="435">
        <f t="shared" si="26"/>
        <v>7443.08</v>
      </c>
      <c r="L90" s="435">
        <f t="shared" si="27"/>
        <v>5416.5999999999995</v>
      </c>
      <c r="M90" s="435">
        <f t="shared" si="28"/>
        <v>4907.0599999999995</v>
      </c>
      <c r="O90" s="926">
        <f t="shared" si="29"/>
        <v>1.46</v>
      </c>
      <c r="P90"/>
      <c r="Q90" s="441" t="s">
        <v>8</v>
      </c>
      <c r="R90" s="435">
        <v>2278</v>
      </c>
      <c r="S90" s="435">
        <v>2154</v>
      </c>
      <c r="T90" s="435">
        <v>2527</v>
      </c>
      <c r="U90" s="435">
        <f>'SCH data and adjusts'!H106</f>
        <v>1355</v>
      </c>
      <c r="V90" s="1080">
        <f>'SCH data and adjusts'!I106</f>
        <v>1216</v>
      </c>
      <c r="W90" s="1518">
        <f>'SCH data and adjusts'!J106</f>
        <v>1139</v>
      </c>
      <c r="X90" s="985">
        <f>'SCH data and adjusts'!K106</f>
        <v>1006</v>
      </c>
      <c r="Y90" s="1080">
        <f>3*'What If Data'!G27</f>
        <v>0</v>
      </c>
    </row>
    <row r="91" spans="1:25">
      <c r="A91" s="461" t="s">
        <v>8</v>
      </c>
      <c r="B91" s="435">
        <f t="shared" si="30"/>
        <v>66560.383696914039</v>
      </c>
      <c r="C91" s="435"/>
      <c r="D91" s="841">
        <f t="shared" si="25"/>
        <v>39.168527087238552</v>
      </c>
      <c r="E91"/>
      <c r="K91" s="435">
        <f t="shared" si="26"/>
        <v>29485.960000000006</v>
      </c>
      <c r="L91" s="435">
        <f t="shared" si="27"/>
        <v>28844.480000000007</v>
      </c>
      <c r="M91" s="435">
        <f t="shared" si="28"/>
        <v>26698.840000000004</v>
      </c>
      <c r="O91" s="926">
        <f t="shared" si="29"/>
        <v>2.7650000000000006</v>
      </c>
      <c r="P91"/>
      <c r="Q91" s="442" t="s">
        <v>2</v>
      </c>
      <c r="R91" s="443">
        <v>3439</v>
      </c>
      <c r="S91" s="443">
        <v>3557</v>
      </c>
      <c r="T91" s="443">
        <v>3487</v>
      </c>
      <c r="U91" s="443">
        <f>'SCH data and adjusts'!H107</f>
        <v>3619</v>
      </c>
      <c r="V91" s="1081">
        <f>'SCH data and adjusts'!I107</f>
        <v>3558</v>
      </c>
      <c r="W91" s="1521">
        <f>'SCH data and adjusts'!J107</f>
        <v>3255</v>
      </c>
      <c r="X91" s="987">
        <f>'SCH data and adjusts'!K107</f>
        <v>2843</v>
      </c>
      <c r="Y91" s="1080">
        <f>3*'What If Data'!G28</f>
        <v>0</v>
      </c>
    </row>
    <row r="92" spans="1:25">
      <c r="A92" s="463" t="s">
        <v>2</v>
      </c>
      <c r="B92" s="443">
        <f t="shared" si="30"/>
        <v>362148.62558487494</v>
      </c>
      <c r="C92" s="443"/>
      <c r="D92" s="842">
        <f t="shared" si="25"/>
        <v>101.8797708884682</v>
      </c>
      <c r="E92"/>
      <c r="K92" s="435">
        <f t="shared" si="26"/>
        <v>146347.18799999999</v>
      </c>
      <c r="L92" s="435">
        <f t="shared" si="27"/>
        <v>148900.20600000001</v>
      </c>
      <c r="M92" s="435">
        <f t="shared" si="28"/>
        <v>150819.12300000002</v>
      </c>
      <c r="O92" s="926">
        <f t="shared" si="29"/>
        <v>2.7690000000000001</v>
      </c>
      <c r="P92"/>
      <c r="Q92" s="441" t="s">
        <v>10</v>
      </c>
      <c r="R92" s="434">
        <v>17207</v>
      </c>
      <c r="S92" s="434">
        <v>17325</v>
      </c>
      <c r="T92" s="434">
        <v>17451</v>
      </c>
      <c r="U92" s="435">
        <f>'SCH data and adjusts'!H108</f>
        <v>18055</v>
      </c>
      <c r="V92" s="1080">
        <f>'SCH data and adjusts'!I108</f>
        <v>17346</v>
      </c>
      <c r="W92" s="1518">
        <f>'SCH data and adjusts'!J108</f>
        <v>18373</v>
      </c>
      <c r="X92" s="985">
        <f>'SCH data and adjusts'!K108</f>
        <v>18748</v>
      </c>
      <c r="Y92" s="1080">
        <f>3*'What If Data'!G29</f>
        <v>0</v>
      </c>
    </row>
    <row r="93" spans="1:25">
      <c r="A93" s="461" t="s">
        <v>10</v>
      </c>
      <c r="B93" s="434">
        <f t="shared" si="30"/>
        <v>2045741.9912762581</v>
      </c>
      <c r="C93" s="434"/>
      <c r="D93" s="841">
        <f t="shared" si="25"/>
        <v>116.12097884335077</v>
      </c>
      <c r="E93"/>
      <c r="K93" s="435">
        <f t="shared" si="26"/>
        <v>122840.83096887554</v>
      </c>
      <c r="L93" s="435">
        <f t="shared" si="27"/>
        <v>121668.25820281128</v>
      </c>
      <c r="M93" s="435">
        <f t="shared" si="28"/>
        <v>120261.17088353417</v>
      </c>
      <c r="O93" s="926">
        <f t="shared" si="29"/>
        <v>2.6349949799196795</v>
      </c>
      <c r="P93"/>
      <c r="Q93" s="441" t="s">
        <v>4</v>
      </c>
      <c r="R93" s="435">
        <v>14255</v>
      </c>
      <c r="S93" s="435">
        <v>15644</v>
      </c>
      <c r="T93" s="435">
        <v>15445</v>
      </c>
      <c r="U93" s="435">
        <f>'SCH data and adjusts'!H109</f>
        <v>15463</v>
      </c>
      <c r="V93" s="1080">
        <f>'SCH data and adjusts'!I109</f>
        <v>15711</v>
      </c>
      <c r="W93" s="1518">
        <f>'SCH data and adjusts'!J109</f>
        <v>15000</v>
      </c>
      <c r="X93" s="985">
        <f>'SCH data and adjusts'!K109</f>
        <v>14929</v>
      </c>
      <c r="Y93" s="1080">
        <f>3*'What If Data'!G30</f>
        <v>0</v>
      </c>
    </row>
    <row r="94" spans="1:25">
      <c r="A94" s="461" t="s">
        <v>4</v>
      </c>
      <c r="B94" s="435">
        <f t="shared" si="30"/>
        <v>1631247.5653136873</v>
      </c>
      <c r="C94" s="435"/>
      <c r="D94" s="841">
        <f t="shared" si="25"/>
        <v>104.97313747487209</v>
      </c>
      <c r="E94"/>
      <c r="K94" s="435">
        <f t="shared" si="26"/>
        <v>22505.969478581981</v>
      </c>
      <c r="L94" s="435">
        <f t="shared" si="27"/>
        <v>22309.516558345644</v>
      </c>
      <c r="M94" s="435">
        <f t="shared" si="28"/>
        <v>21224.988793205317</v>
      </c>
      <c r="O94" s="926">
        <f t="shared" si="29"/>
        <v>2.6911358936484491</v>
      </c>
      <c r="P94"/>
      <c r="Q94" s="441" t="s">
        <v>14</v>
      </c>
      <c r="R94" s="434">
        <v>3423</v>
      </c>
      <c r="S94" s="434">
        <v>3103</v>
      </c>
      <c r="T94" s="434">
        <v>2840</v>
      </c>
      <c r="U94" s="435">
        <f>'SCH data and adjusts'!H110</f>
        <v>2762</v>
      </c>
      <c r="V94" s="1080">
        <f>'SCH data and adjusts'!I110</f>
        <v>2761</v>
      </c>
      <c r="W94" s="1518">
        <f>'SCH data and adjusts'!J110</f>
        <v>2767</v>
      </c>
      <c r="X94" s="985">
        <f>'SCH data and adjusts'!K110</f>
        <v>2359</v>
      </c>
      <c r="Y94" s="1080">
        <f>3*'What If Data'!G31</f>
        <v>0</v>
      </c>
    </row>
    <row r="95" spans="1:25">
      <c r="A95" s="461" t="s">
        <v>14</v>
      </c>
      <c r="B95" s="434">
        <f t="shared" si="30"/>
        <v>287900.16792915639</v>
      </c>
      <c r="C95" s="434"/>
      <c r="D95" s="841">
        <f t="shared" si="25"/>
        <v>103.27639648301677</v>
      </c>
      <c r="E95"/>
      <c r="K95" s="435">
        <f t="shared" si="26"/>
        <v>45599.631087081325</v>
      </c>
      <c r="L95" s="435">
        <f t="shared" si="27"/>
        <v>47994.451366507164</v>
      </c>
      <c r="M95" s="435">
        <f t="shared" si="28"/>
        <v>50733.474909090895</v>
      </c>
      <c r="O95" s="926">
        <f t="shared" si="29"/>
        <v>2.0860803827751191</v>
      </c>
      <c r="P95"/>
      <c r="Q95" s="442" t="s">
        <v>17</v>
      </c>
      <c r="R95" s="443">
        <v>6475</v>
      </c>
      <c r="S95" s="443">
        <v>6996</v>
      </c>
      <c r="T95" s="443">
        <v>7185</v>
      </c>
      <c r="U95" s="443">
        <f>'SCH data and adjusts'!H111</f>
        <v>7282</v>
      </c>
      <c r="V95" s="1081">
        <f>'SCH data and adjusts'!I111</f>
        <v>7392</v>
      </c>
      <c r="W95" s="1521">
        <f>'SCH data and adjusts'!J111</f>
        <v>8333</v>
      </c>
      <c r="X95" s="987">
        <f>'SCH data and adjusts'!K111</f>
        <v>8595</v>
      </c>
      <c r="Y95" s="1080">
        <f>3*'What If Data'!G32</f>
        <v>0</v>
      </c>
    </row>
    <row r="96" spans="1:25">
      <c r="A96" s="463" t="s">
        <v>17</v>
      </c>
      <c r="B96" s="443">
        <f t="shared" si="30"/>
        <v>688159.41851675976</v>
      </c>
      <c r="C96" s="443"/>
      <c r="D96" s="842">
        <f t="shared" si="25"/>
        <v>94.445228763908659</v>
      </c>
      <c r="E96"/>
      <c r="K96" s="435">
        <f t="shared" si="26"/>
        <v>100952.202</v>
      </c>
      <c r="L96" s="435">
        <f t="shared" si="27"/>
        <v>102472.383</v>
      </c>
      <c r="M96" s="435">
        <f t="shared" si="28"/>
        <v>107625.492</v>
      </c>
      <c r="O96" s="926">
        <f t="shared" si="29"/>
        <v>2.7690000000000001</v>
      </c>
      <c r="P96"/>
      <c r="Q96" s="441" t="s">
        <v>316</v>
      </c>
      <c r="R96" s="434">
        <v>12462</v>
      </c>
      <c r="S96" s="434">
        <v>12570</v>
      </c>
      <c r="T96" s="434">
        <v>12503</v>
      </c>
      <c r="U96" s="435">
        <f>'SCH data and adjusts'!H112</f>
        <v>12157</v>
      </c>
      <c r="V96" s="1080">
        <f>'SCH data and adjusts'!I112</f>
        <v>11798</v>
      </c>
      <c r="W96" s="1518">
        <f>'SCH data and adjusts'!J112</f>
        <v>13052</v>
      </c>
      <c r="X96" s="985">
        <f>'SCH data and adjusts'!K112</f>
        <v>14018</v>
      </c>
      <c r="Y96" s="1080">
        <f>3*'What If Data'!G33</f>
        <v>0</v>
      </c>
    </row>
    <row r="97" spans="1:25">
      <c r="A97" s="461" t="s">
        <v>316</v>
      </c>
      <c r="B97" s="434">
        <f t="shared" si="30"/>
        <v>1459854.5856560045</v>
      </c>
      <c r="C97" s="434"/>
      <c r="D97" s="841">
        <f t="shared" si="25"/>
        <v>120.126275631357</v>
      </c>
      <c r="E97"/>
      <c r="K97" s="435">
        <f t="shared" si="26"/>
        <v>257002.37315909422</v>
      </c>
      <c r="L97" s="435">
        <f t="shared" si="27"/>
        <v>264573.24956223171</v>
      </c>
      <c r="M97" s="435">
        <f t="shared" si="28"/>
        <v>261208.1290901287</v>
      </c>
      <c r="O97" s="926">
        <f t="shared" si="29"/>
        <v>2.5786363770904241</v>
      </c>
      <c r="P97"/>
      <c r="Q97" s="441" t="s">
        <v>7</v>
      </c>
      <c r="R97" s="435">
        <v>25998</v>
      </c>
      <c r="S97" s="435">
        <v>26492</v>
      </c>
      <c r="T97" s="435">
        <v>30508</v>
      </c>
      <c r="U97" s="435">
        <f>'SCH data and adjusts'!H113</f>
        <v>34184</v>
      </c>
      <c r="V97" s="1080">
        <f>'SCH data and adjusts'!I113</f>
        <v>34974</v>
      </c>
      <c r="W97" s="1518">
        <f>'SCH data and adjusts'!J113</f>
        <v>33444</v>
      </c>
      <c r="X97" s="985">
        <f>'SCH data and adjusts'!K113</f>
        <v>32879</v>
      </c>
      <c r="Y97" s="1080">
        <f>3*'What If Data'!G34</f>
        <v>0</v>
      </c>
    </row>
    <row r="98" spans="1:25">
      <c r="A98" s="461" t="s">
        <v>7</v>
      </c>
      <c r="B98" s="435">
        <f t="shared" si="30"/>
        <v>3543081.4575309898</v>
      </c>
      <c r="C98" s="435"/>
      <c r="D98" s="841">
        <f t="shared" si="25"/>
        <v>106.64865021765667</v>
      </c>
      <c r="E98"/>
      <c r="K98" s="435">
        <f t="shared" si="26"/>
        <v>46200.005915995978</v>
      </c>
      <c r="L98" s="435">
        <f t="shared" si="27"/>
        <v>50262.490272132796</v>
      </c>
      <c r="M98" s="435">
        <f t="shared" si="28"/>
        <v>54659.532163480886</v>
      </c>
      <c r="O98" s="926">
        <f t="shared" si="29"/>
        <v>2.3896966800804829</v>
      </c>
      <c r="P98"/>
      <c r="Q98" s="441" t="s">
        <v>514</v>
      </c>
      <c r="R98" s="435">
        <v>5241</v>
      </c>
      <c r="S98" s="435">
        <v>6119</v>
      </c>
      <c r="T98" s="435">
        <v>6495</v>
      </c>
      <c r="U98" s="435">
        <f>'SCH data and adjusts'!H114</f>
        <v>6031</v>
      </c>
      <c r="V98" s="1080">
        <f>'SCH data and adjusts'!I114</f>
        <v>6807</v>
      </c>
      <c r="W98" s="1518">
        <f>'SCH data and adjusts'!J114</f>
        <v>8195</v>
      </c>
      <c r="X98" s="985">
        <f>'SCH data and adjusts'!K114</f>
        <v>7871</v>
      </c>
      <c r="Y98" s="1080">
        <f>3*'What If Data'!G35</f>
        <v>0</v>
      </c>
    </row>
    <row r="99" spans="1:25">
      <c r="A99" s="461" t="s">
        <v>9</v>
      </c>
      <c r="B99" s="435">
        <f t="shared" si="30"/>
        <v>741413.27668606082</v>
      </c>
      <c r="C99" s="435"/>
      <c r="D99" s="841">
        <f t="shared" si="25"/>
        <v>115.04887136286052</v>
      </c>
      <c r="E99"/>
      <c r="K99" s="435">
        <f>O99*(T99+V99+U99)</f>
        <v>37986.006753246758</v>
      </c>
      <c r="L99" s="435">
        <f t="shared" si="27"/>
        <v>37512.090251082256</v>
      </c>
      <c r="M99" s="435">
        <f t="shared" si="28"/>
        <v>35543.737662337669</v>
      </c>
      <c r="O99" s="926">
        <f t="shared" si="29"/>
        <v>2.907463203463204</v>
      </c>
      <c r="P99"/>
      <c r="Q99" s="442" t="s">
        <v>515</v>
      </c>
      <c r="R99" s="443">
        <v>5184</v>
      </c>
      <c r="S99" s="443">
        <v>5422</v>
      </c>
      <c r="T99" s="443">
        <v>4487</v>
      </c>
      <c r="U99" s="443">
        <f>'SCH data and adjusts'!H115</f>
        <v>4380</v>
      </c>
      <c r="V99" s="1081">
        <f>'SCH data and adjusts'!I115</f>
        <v>4198</v>
      </c>
      <c r="W99" s="1521">
        <f>'SCH data and adjusts'!J115</f>
        <v>4324</v>
      </c>
      <c r="X99" s="987">
        <f>'SCH data and adjusts'!K115</f>
        <v>3703</v>
      </c>
      <c r="Y99" s="1080">
        <f>3*'What If Data'!G36</f>
        <v>0</v>
      </c>
    </row>
    <row r="100" spans="1:25">
      <c r="A100" s="463" t="s">
        <v>5</v>
      </c>
      <c r="B100" s="443">
        <f t="shared" si="30"/>
        <v>482122.6593576704</v>
      </c>
      <c r="C100" s="443"/>
      <c r="D100" s="842">
        <f t="shared" si="25"/>
        <v>110.70554749889102</v>
      </c>
      <c r="E100"/>
      <c r="K100" s="434"/>
      <c r="L100" s="516"/>
      <c r="M100" s="434"/>
      <c r="O100" s="968"/>
      <c r="P100"/>
      <c r="Q100" s="441"/>
      <c r="R100" s="434"/>
      <c r="S100" s="434"/>
      <c r="T100" s="434"/>
      <c r="U100" s="434"/>
      <c r="V100" s="999"/>
      <c r="W100" s="999"/>
      <c r="X100" s="986"/>
      <c r="Y100" s="999"/>
    </row>
    <row r="101" spans="1:25">
      <c r="A101" s="461"/>
      <c r="B101" s="434"/>
      <c r="C101" s="434"/>
      <c r="D101" s="841"/>
      <c r="E101"/>
      <c r="K101" s="435">
        <f>O101*(T101+V101+U101)</f>
        <v>0</v>
      </c>
      <c r="L101" s="435">
        <f>O101*(U101+W101+V101)</f>
        <v>0</v>
      </c>
      <c r="M101" s="435">
        <f>O101*(V101+W101+X101+Y101)</f>
        <v>0</v>
      </c>
      <c r="O101" s="968"/>
      <c r="P101"/>
      <c r="Q101" s="441" t="s">
        <v>516</v>
      </c>
      <c r="R101" s="434"/>
      <c r="S101" s="434"/>
      <c r="T101" s="434"/>
      <c r="U101" s="434">
        <v>0</v>
      </c>
      <c r="V101" s="999">
        <v>0</v>
      </c>
      <c r="W101" s="999"/>
      <c r="X101" s="986"/>
      <c r="Y101" s="999"/>
    </row>
    <row r="102" spans="1:25">
      <c r="A102" s="461" t="s">
        <v>516</v>
      </c>
      <c r="B102" s="435">
        <v>0</v>
      </c>
      <c r="C102" s="435"/>
      <c r="D102" s="841">
        <v>0</v>
      </c>
      <c r="E102"/>
      <c r="K102" s="435">
        <f>O102*(T102+V102+U102)</f>
        <v>0</v>
      </c>
      <c r="L102" s="435">
        <f>O102*(U102+W102+V102)</f>
        <v>0</v>
      </c>
      <c r="M102" s="435">
        <f>O102*(V102+W102+X102+Y102)</f>
        <v>0</v>
      </c>
      <c r="O102" s="968"/>
      <c r="P102"/>
      <c r="Q102" s="441" t="s">
        <v>517</v>
      </c>
      <c r="R102" s="434">
        <v>0</v>
      </c>
      <c r="S102" s="434">
        <v>0</v>
      </c>
      <c r="T102" s="434">
        <v>0</v>
      </c>
      <c r="U102" s="434">
        <v>0</v>
      </c>
      <c r="V102" s="999">
        <v>0</v>
      </c>
      <c r="W102" s="999"/>
      <c r="X102" s="986"/>
      <c r="Y102" s="999"/>
    </row>
    <row r="103" spans="1:25">
      <c r="A103" s="461" t="s">
        <v>537</v>
      </c>
      <c r="B103" s="434">
        <v>0</v>
      </c>
      <c r="C103" s="434"/>
      <c r="D103" s="841">
        <v>0</v>
      </c>
      <c r="E103"/>
      <c r="K103" s="435">
        <f>O103*(T103+V103+U103)</f>
        <v>0</v>
      </c>
      <c r="L103" s="435">
        <f>O103*(U103+W103+V103)</f>
        <v>0</v>
      </c>
      <c r="M103" s="435">
        <f>O103*(V103+W103+X103+Y103)</f>
        <v>0</v>
      </c>
      <c r="O103" s="968"/>
      <c r="P103"/>
      <c r="Q103" s="442" t="s">
        <v>518</v>
      </c>
      <c r="R103" s="444"/>
      <c r="S103" s="444"/>
      <c r="T103" s="444"/>
      <c r="U103" s="444">
        <v>0</v>
      </c>
      <c r="V103" s="1000">
        <v>0</v>
      </c>
      <c r="W103" s="1000"/>
      <c r="X103" s="988"/>
      <c r="Y103" s="1000"/>
    </row>
    <row r="104" spans="1:25">
      <c r="A104" s="463" t="s">
        <v>518</v>
      </c>
      <c r="B104" s="443">
        <v>0</v>
      </c>
      <c r="C104" s="443"/>
      <c r="D104" s="842">
        <v>0</v>
      </c>
      <c r="E104"/>
      <c r="K104" s="435">
        <f>O104*(T104+V104+U104)</f>
        <v>0</v>
      </c>
      <c r="L104" s="435">
        <f>O104*(U104+W104+V104)</f>
        <v>0</v>
      </c>
      <c r="M104" s="435">
        <f>O104*(V104+W104+X104+Y104)</f>
        <v>0</v>
      </c>
      <c r="O104" s="968"/>
      <c r="P104"/>
      <c r="Q104" s="441" t="s">
        <v>519</v>
      </c>
      <c r="R104" s="434"/>
      <c r="S104" s="434"/>
      <c r="T104" s="434"/>
      <c r="U104" s="434">
        <v>0</v>
      </c>
      <c r="V104" s="999">
        <v>0</v>
      </c>
      <c r="W104" s="999"/>
      <c r="X104" s="986"/>
      <c r="Y104" s="999"/>
    </row>
    <row r="105" spans="1:25">
      <c r="A105" s="461" t="s">
        <v>536</v>
      </c>
      <c r="B105" s="435">
        <v>0</v>
      </c>
      <c r="C105" s="435"/>
      <c r="D105" s="841">
        <v>0</v>
      </c>
      <c r="E105"/>
      <c r="K105" s="435">
        <f>O105*(T105+V105+U105)</f>
        <v>0</v>
      </c>
      <c r="L105" s="435">
        <f>O105*(U105+W105+V105)</f>
        <v>0</v>
      </c>
      <c r="M105" s="435">
        <f>O105*(V105+W105+X105+Y105)</f>
        <v>0</v>
      </c>
      <c r="O105" s="968"/>
      <c r="P105"/>
      <c r="Q105" s="445" t="s">
        <v>520</v>
      </c>
      <c r="R105" s="434"/>
      <c r="S105" s="434"/>
      <c r="T105" s="434"/>
      <c r="U105" s="434">
        <v>0</v>
      </c>
      <c r="V105" s="999">
        <v>0</v>
      </c>
      <c r="W105" s="999"/>
      <c r="X105" s="986"/>
      <c r="Y105" s="999"/>
    </row>
    <row r="106" spans="1:25">
      <c r="A106" s="467" t="s">
        <v>520</v>
      </c>
      <c r="B106" s="435">
        <v>0</v>
      </c>
      <c r="C106" s="435"/>
      <c r="D106" s="841">
        <v>0</v>
      </c>
      <c r="E106"/>
      <c r="K106" s="447">
        <f>SUM(K88:K105)</f>
        <v>931197.82520011649</v>
      </c>
      <c r="L106" s="447">
        <f>SUM(L88:L105)</f>
        <v>940065.30842449865</v>
      </c>
      <c r="M106" s="447">
        <f>SUM(M88:M105)</f>
        <v>938850.66970925545</v>
      </c>
      <c r="O106" s="927"/>
      <c r="P106"/>
      <c r="Q106" s="446" t="s">
        <v>180</v>
      </c>
      <c r="R106" s="447">
        <f t="shared" ref="R106:X106" si="31">SUM(R88:R105)</f>
        <v>110979</v>
      </c>
      <c r="S106" s="447">
        <f t="shared" si="31"/>
        <v>115096</v>
      </c>
      <c r="T106" s="447">
        <f t="shared" si="31"/>
        <v>118147</v>
      </c>
      <c r="U106" s="447">
        <f t="shared" si="31"/>
        <v>120843</v>
      </c>
      <c r="V106" s="447">
        <f t="shared" si="31"/>
        <v>119782</v>
      </c>
      <c r="W106" s="447">
        <f t="shared" si="31"/>
        <v>120671</v>
      </c>
      <c r="X106" s="989">
        <f t="shared" si="31"/>
        <v>120024</v>
      </c>
      <c r="Y106" s="438"/>
    </row>
    <row r="107" spans="1:25">
      <c r="A107" s="468"/>
      <c r="B107" s="447">
        <f>SUM(B89:B106)</f>
        <v>12734765.992254581</v>
      </c>
      <c r="C107" s="438"/>
      <c r="D107" s="841">
        <v>0</v>
      </c>
      <c r="E107"/>
      <c r="P107"/>
    </row>
    <row r="108" spans="1:25">
      <c r="E108"/>
      <c r="P108"/>
      <c r="R108" s="455">
        <f>R106+S106+T106</f>
        <v>344222</v>
      </c>
    </row>
    <row r="109" spans="1:25">
      <c r="E109"/>
      <c r="P109"/>
    </row>
    <row r="110" spans="1:25">
      <c r="E110"/>
      <c r="P110"/>
    </row>
    <row r="111" spans="1:25">
      <c r="E111"/>
      <c r="P111"/>
    </row>
    <row r="112" spans="1:25">
      <c r="E112"/>
      <c r="P112"/>
    </row>
    <row r="113" spans="1:5">
      <c r="A113" s="214"/>
      <c r="B113" s="522" t="s">
        <v>713</v>
      </c>
      <c r="C113" s="522" t="s">
        <v>555</v>
      </c>
      <c r="E113"/>
    </row>
    <row r="114" spans="1:5">
      <c r="A114" s="461" t="s">
        <v>513</v>
      </c>
      <c r="B114" s="523">
        <f>I17</f>
        <v>9.9198739630790553E-2</v>
      </c>
      <c r="C114" s="470">
        <f t="shared" ref="C114:C125" si="32">I42</f>
        <v>9.3719235988671865E-2</v>
      </c>
      <c r="E114"/>
    </row>
    <row r="115" spans="1:5">
      <c r="A115" s="461" t="s">
        <v>6</v>
      </c>
      <c r="B115" s="523">
        <f t="shared" ref="B115:B125" si="33">I18</f>
        <v>5.3569012542448419E-2</v>
      </c>
      <c r="C115" s="470">
        <f t="shared" si="32"/>
        <v>1.8299772572132309E-2</v>
      </c>
      <c r="E115"/>
    </row>
    <row r="116" spans="1:5">
      <c r="A116" s="461" t="s">
        <v>8</v>
      </c>
      <c r="B116" s="523">
        <f t="shared" si="33"/>
        <v>5.1485375360930549E-2</v>
      </c>
      <c r="C116" s="470">
        <f t="shared" si="32"/>
        <v>5.2266671988630787E-3</v>
      </c>
      <c r="E116"/>
    </row>
    <row r="117" spans="1:5">
      <c r="A117" s="463" t="s">
        <v>2</v>
      </c>
      <c r="B117" s="523">
        <f t="shared" si="33"/>
        <v>5.9552290638235271E-2</v>
      </c>
      <c r="C117" s="470">
        <f t="shared" si="32"/>
        <v>2.8437791931562595E-2</v>
      </c>
      <c r="E117"/>
    </row>
    <row r="118" spans="1:5">
      <c r="A118" s="461" t="s">
        <v>10</v>
      </c>
      <c r="B118" s="523">
        <f t="shared" si="33"/>
        <v>7.408758554247373E-2</v>
      </c>
      <c r="C118" s="470">
        <f t="shared" si="32"/>
        <v>0.16064229154430479</v>
      </c>
      <c r="E118"/>
    </row>
    <row r="119" spans="1:5">
      <c r="A119" s="461" t="s">
        <v>4</v>
      </c>
      <c r="B119" s="523">
        <f t="shared" si="33"/>
        <v>9.6846175489081837E-2</v>
      </c>
      <c r="C119" s="470">
        <f t="shared" si="32"/>
        <v>0.12809403536003955</v>
      </c>
      <c r="E119"/>
    </row>
    <row r="120" spans="1:5">
      <c r="A120" s="461" t="s">
        <v>14</v>
      </c>
      <c r="B120" s="523">
        <f t="shared" si="33"/>
        <v>5.1173058610940736E-3</v>
      </c>
      <c r="C120" s="470">
        <f t="shared" si="32"/>
        <v>2.2607417215538973E-2</v>
      </c>
      <c r="E120"/>
    </row>
    <row r="121" spans="1:5">
      <c r="A121" s="463" t="s">
        <v>17</v>
      </c>
      <c r="B121" s="523">
        <f t="shared" si="33"/>
        <v>6.5447795004492743E-2</v>
      </c>
      <c r="C121" s="470">
        <f t="shared" si="32"/>
        <v>5.4037853458422845E-2</v>
      </c>
      <c r="E121"/>
    </row>
    <row r="122" spans="1:5">
      <c r="A122" s="461" t="s">
        <v>316</v>
      </c>
      <c r="B122" s="523">
        <f t="shared" si="33"/>
        <v>4.8079219901834627E-2</v>
      </c>
      <c r="C122" s="470">
        <f t="shared" si="32"/>
        <v>0.11463536797958467</v>
      </c>
      <c r="E122"/>
    </row>
    <row r="123" spans="1:5">
      <c r="A123" s="461" t="s">
        <v>7</v>
      </c>
      <c r="B123" s="523">
        <f t="shared" si="33"/>
        <v>0.32849291456819141</v>
      </c>
      <c r="C123" s="470">
        <f t="shared" si="32"/>
        <v>0.27822116713302231</v>
      </c>
      <c r="E123"/>
    </row>
    <row r="124" spans="1:5">
      <c r="A124" s="461" t="s">
        <v>9</v>
      </c>
      <c r="B124" s="523">
        <f t="shared" si="33"/>
        <v>7.0011832382377431E-2</v>
      </c>
      <c r="C124" s="470">
        <f t="shared" si="32"/>
        <v>5.821962312750751E-2</v>
      </c>
      <c r="E124"/>
    </row>
    <row r="125" spans="1:5" ht="16.5" thickBot="1">
      <c r="A125" s="519" t="s">
        <v>5</v>
      </c>
      <c r="B125" s="523">
        <f t="shared" si="33"/>
        <v>4.8111753078049276E-2</v>
      </c>
      <c r="C125" s="470">
        <f t="shared" si="32"/>
        <v>3.7858776490349529E-2</v>
      </c>
      <c r="E125"/>
    </row>
    <row r="126" spans="1:5" ht="16.5" thickTop="1">
      <c r="B126" s="1093">
        <f>SUM(B114:B125)</f>
        <v>0.99999999999999978</v>
      </c>
      <c r="C126" s="1093">
        <f>SUM(C114:C125)</f>
        <v>0.99999999999999989</v>
      </c>
      <c r="E126"/>
    </row>
    <row r="127" spans="1:5">
      <c r="E127"/>
    </row>
    <row r="128" spans="1:5">
      <c r="E128"/>
    </row>
    <row r="129" spans="1:11">
      <c r="E129"/>
    </row>
    <row r="130" spans="1:11">
      <c r="E130"/>
    </row>
    <row r="131" spans="1:11">
      <c r="E131"/>
    </row>
    <row r="132" spans="1:11">
      <c r="A132" s="214"/>
      <c r="B132" s="522" t="s">
        <v>713</v>
      </c>
      <c r="C132" s="522" t="s">
        <v>555</v>
      </c>
      <c r="E132"/>
    </row>
    <row r="133" spans="1:11">
      <c r="A133" s="461" t="s">
        <v>513</v>
      </c>
      <c r="B133" s="523">
        <f t="shared" ref="B133:C136" si="34">B114</f>
        <v>9.9198739630790553E-2</v>
      </c>
      <c r="C133" s="523">
        <f t="shared" si="34"/>
        <v>9.3719235988671865E-2</v>
      </c>
      <c r="E133"/>
    </row>
    <row r="134" spans="1:11">
      <c r="A134" s="461" t="s">
        <v>6</v>
      </c>
      <c r="B134" s="523">
        <f t="shared" si="34"/>
        <v>5.3569012542448419E-2</v>
      </c>
      <c r="C134" s="523">
        <f t="shared" si="34"/>
        <v>1.8299772572132309E-2</v>
      </c>
      <c r="E134"/>
      <c r="H134" s="42"/>
      <c r="I134" s="42"/>
      <c r="K134" s="42"/>
    </row>
    <row r="135" spans="1:11">
      <c r="A135" s="461" t="s">
        <v>8</v>
      </c>
      <c r="B135" s="523">
        <f t="shared" si="34"/>
        <v>5.1485375360930549E-2</v>
      </c>
      <c r="C135" s="523">
        <f t="shared" si="34"/>
        <v>5.2266671988630787E-3</v>
      </c>
    </row>
    <row r="136" spans="1:11">
      <c r="A136" s="463" t="s">
        <v>2</v>
      </c>
      <c r="B136" s="523">
        <f t="shared" si="34"/>
        <v>5.9552290638235271E-2</v>
      </c>
      <c r="C136" s="523">
        <f t="shared" si="34"/>
        <v>2.8437791931562595E-2</v>
      </c>
    </row>
    <row r="137" spans="1:11">
      <c r="A137" s="461" t="s">
        <v>10</v>
      </c>
      <c r="B137" s="523"/>
      <c r="C137" s="470"/>
    </row>
    <row r="138" spans="1:11">
      <c r="A138" s="461" t="s">
        <v>4</v>
      </c>
      <c r="B138" s="523">
        <f t="shared" ref="B138:C140" si="35">B119</f>
        <v>9.6846175489081837E-2</v>
      </c>
      <c r="C138" s="523">
        <f t="shared" si="35"/>
        <v>0.12809403536003955</v>
      </c>
    </row>
    <row r="139" spans="1:11">
      <c r="A139" s="461" t="s">
        <v>14</v>
      </c>
      <c r="B139" s="523">
        <f t="shared" si="35"/>
        <v>5.1173058610940736E-3</v>
      </c>
      <c r="C139" s="523">
        <f t="shared" si="35"/>
        <v>2.2607417215538973E-2</v>
      </c>
    </row>
    <row r="140" spans="1:11">
      <c r="A140" s="463" t="s">
        <v>17</v>
      </c>
      <c r="B140" s="523">
        <f t="shared" si="35"/>
        <v>6.5447795004492743E-2</v>
      </c>
      <c r="C140" s="523">
        <f t="shared" si="35"/>
        <v>5.4037853458422845E-2</v>
      </c>
    </row>
    <row r="141" spans="1:11">
      <c r="A141" s="461" t="s">
        <v>316</v>
      </c>
      <c r="B141" s="523"/>
      <c r="C141" s="470"/>
    </row>
    <row r="142" spans="1:11">
      <c r="A142" s="461" t="s">
        <v>7</v>
      </c>
      <c r="B142" s="523">
        <f t="shared" ref="B142:C144" si="36">B123</f>
        <v>0.32849291456819141</v>
      </c>
      <c r="C142" s="523">
        <f t="shared" si="36"/>
        <v>0.27822116713302231</v>
      </c>
    </row>
    <row r="143" spans="1:11">
      <c r="A143" s="461" t="s">
        <v>9</v>
      </c>
      <c r="B143" s="523">
        <f t="shared" si="36"/>
        <v>7.0011832382377431E-2</v>
      </c>
      <c r="C143" s="523">
        <f t="shared" si="36"/>
        <v>5.821962312750751E-2</v>
      </c>
    </row>
    <row r="144" spans="1:11" ht="16.5" thickBot="1">
      <c r="A144" s="519" t="s">
        <v>5</v>
      </c>
      <c r="B144" s="523">
        <f t="shared" si="36"/>
        <v>4.8111753078049276E-2</v>
      </c>
      <c r="C144" s="523">
        <f t="shared" si="36"/>
        <v>3.7858776490349529E-2</v>
      </c>
    </row>
    <row r="145" ht="16.5" thickTop="1"/>
  </sheetData>
  <pageMargins left="0.75" right="0.75" top="1" bottom="1" header="0.5" footer="0.5"/>
  <pageSetup orientation="portrait" horizontalDpi="4294967292" verticalDpi="4294967292" copies="5"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L118"/>
  <sheetViews>
    <sheetView workbookViewId="0">
      <selection activeCell="J1" sqref="J1"/>
    </sheetView>
  </sheetViews>
  <sheetFormatPr defaultColWidth="11" defaultRowHeight="15.75"/>
  <cols>
    <col min="1" max="1" width="21.375" customWidth="1"/>
    <col min="5" max="5" width="7.375" customWidth="1"/>
    <col min="7" max="7" width="12.875" customWidth="1"/>
    <col min="8" max="8" width="4.5" customWidth="1"/>
    <col min="10" max="10" width="18.125" customWidth="1"/>
    <col min="18" max="43" width="5.625" customWidth="1"/>
    <col min="44" max="44" width="4" customWidth="1"/>
    <col min="45" max="57" width="5.375" customWidth="1"/>
    <col min="58" max="58" width="5.125" customWidth="1"/>
    <col min="60" max="60" width="7.125" customWidth="1"/>
    <col min="62" max="73" width="5.125" customWidth="1"/>
    <col min="77" max="89" width="5.5" customWidth="1"/>
  </cols>
  <sheetData>
    <row r="1" spans="1:90">
      <c r="H1" s="219"/>
    </row>
    <row r="2" spans="1:90" ht="16.5" thickBot="1">
      <c r="H2" s="219"/>
      <c r="N2" s="42"/>
    </row>
    <row r="3" spans="1:90" ht="18.75">
      <c r="A3" s="886" t="str">
        <f>'Graduate Completions'!G3</f>
        <v>Interdisciplinary Graduate Degrees:</v>
      </c>
      <c r="B3" s="390"/>
      <c r="C3" s="390"/>
      <c r="D3" s="391"/>
      <c r="H3" s="219"/>
      <c r="R3" s="192"/>
      <c r="S3" s="192"/>
      <c r="T3" s="192"/>
      <c r="U3" s="192"/>
      <c r="V3" s="192"/>
      <c r="W3" s="192"/>
      <c r="X3" s="192"/>
      <c r="Y3" s="192"/>
      <c r="Z3" s="192"/>
      <c r="AA3" s="192"/>
      <c r="AB3" s="192"/>
      <c r="AC3" s="192"/>
      <c r="AD3" s="192"/>
      <c r="AE3" s="192"/>
    </row>
    <row r="4" spans="1:90">
      <c r="A4" s="265" t="str">
        <f>'Graduate Completions'!G4</f>
        <v>Additional Weighting:</v>
      </c>
      <c r="B4" s="57"/>
      <c r="C4" s="57"/>
      <c r="D4" s="949">
        <f>'Graduate Completions'!J4</f>
        <v>1.2</v>
      </c>
      <c r="H4" s="219"/>
    </row>
    <row r="5" spans="1:90">
      <c r="A5" s="265" t="str">
        <f>'Graduate Completions'!G5</f>
        <v>Proportion to college of major professor:</v>
      </c>
      <c r="B5" s="57"/>
      <c r="C5" s="57"/>
      <c r="D5" s="949">
        <f>'Graduate Completions'!J5</f>
        <v>0.83330000000000004</v>
      </c>
      <c r="F5">
        <v>0.83330000000000004</v>
      </c>
      <c r="H5" s="219"/>
    </row>
    <row r="6" spans="1:90" ht="16.5" thickBot="1">
      <c r="A6" s="395" t="str">
        <f>'Graduate Completions'!G6</f>
        <v>Proportion to interdisciplinary program:</v>
      </c>
      <c r="B6" s="396"/>
      <c r="C6" s="396"/>
      <c r="D6" s="950">
        <f>'Graduate Completions'!J6</f>
        <v>0.16669999999999996</v>
      </c>
      <c r="F6">
        <f>F5*D4</f>
        <v>0.99995999999999996</v>
      </c>
      <c r="H6" s="219"/>
    </row>
    <row r="7" spans="1:90">
      <c r="H7" s="219"/>
    </row>
    <row r="8" spans="1:90">
      <c r="H8" s="219"/>
    </row>
    <row r="9" spans="1:90">
      <c r="H9" s="219"/>
    </row>
    <row r="10" spans="1:90">
      <c r="A10" s="945" t="s">
        <v>564</v>
      </c>
      <c r="B10" s="946" t="s">
        <v>566</v>
      </c>
      <c r="C10" s="946"/>
      <c r="D10" s="946"/>
      <c r="E10" s="532"/>
      <c r="H10" s="219"/>
      <c r="L10" s="211" t="s">
        <v>607</v>
      </c>
      <c r="M10" s="211"/>
      <c r="N10" s="211"/>
      <c r="O10" s="211"/>
      <c r="P10" s="211"/>
      <c r="Q10" s="211" t="s">
        <v>1476</v>
      </c>
      <c r="R10" s="211"/>
      <c r="S10" s="211"/>
      <c r="T10" s="211"/>
      <c r="U10" s="211"/>
      <c r="V10" s="211"/>
      <c r="W10" s="211"/>
      <c r="X10" s="211"/>
      <c r="Y10" s="211"/>
      <c r="Z10" s="211"/>
      <c r="AA10" s="211"/>
      <c r="AB10" s="211"/>
      <c r="AC10" s="211"/>
      <c r="AD10" s="211"/>
      <c r="AE10" s="211"/>
      <c r="AF10" s="211" t="s">
        <v>1230</v>
      </c>
      <c r="AG10" s="211"/>
      <c r="AH10" s="211"/>
      <c r="AI10" s="211"/>
      <c r="AJ10" s="211"/>
      <c r="AK10" s="211"/>
      <c r="AL10" s="211"/>
      <c r="AM10" s="211"/>
      <c r="AN10" s="211"/>
      <c r="AO10" s="211"/>
      <c r="AP10" s="211"/>
      <c r="AQ10" s="211"/>
      <c r="AR10" s="211"/>
      <c r="AV10" s="211" t="s">
        <v>1231</v>
      </c>
      <c r="AW10" s="211"/>
      <c r="AX10" s="211"/>
      <c r="AY10" s="211"/>
      <c r="AZ10" s="211"/>
      <c r="BA10" s="211"/>
      <c r="BB10" s="211"/>
      <c r="BC10" s="211"/>
      <c r="BD10" s="211"/>
      <c r="BE10" s="211"/>
      <c r="BF10" s="211"/>
      <c r="BG10" s="211"/>
      <c r="BH10" s="211"/>
      <c r="BJ10" s="211" t="s">
        <v>1232</v>
      </c>
      <c r="BK10" s="211"/>
      <c r="BL10" s="211"/>
      <c r="BM10" s="211"/>
      <c r="BN10" s="211"/>
      <c r="BO10" s="211"/>
      <c r="BP10" s="211"/>
      <c r="BQ10" s="211"/>
      <c r="BR10" s="211"/>
      <c r="BS10" s="211"/>
      <c r="BT10" s="211"/>
      <c r="BU10" s="211"/>
      <c r="BV10" s="211"/>
      <c r="BW10" s="211"/>
      <c r="BY10" s="211" t="s">
        <v>1233</v>
      </c>
      <c r="BZ10" s="211"/>
      <c r="CA10" s="211"/>
      <c r="CB10" s="211"/>
      <c r="CC10" s="211"/>
      <c r="CD10" s="211"/>
      <c r="CE10" s="211"/>
      <c r="CF10" s="211"/>
      <c r="CG10" s="211"/>
      <c r="CH10" s="211"/>
      <c r="CI10" s="211"/>
      <c r="CJ10" s="211"/>
      <c r="CK10" s="211"/>
      <c r="CL10" s="211"/>
    </row>
    <row r="11" spans="1:90" ht="53.25">
      <c r="A11" s="944"/>
      <c r="B11" s="460" t="s">
        <v>1671</v>
      </c>
      <c r="C11" s="460" t="s">
        <v>1670</v>
      </c>
      <c r="D11" s="460" t="s">
        <v>1587</v>
      </c>
      <c r="E11" s="535"/>
      <c r="F11" s="567" t="s">
        <v>608</v>
      </c>
      <c r="G11" s="566" t="s">
        <v>609</v>
      </c>
      <c r="H11" s="219"/>
      <c r="K11" s="554" t="s">
        <v>1234</v>
      </c>
      <c r="L11" s="554" t="s">
        <v>1235</v>
      </c>
      <c r="M11" s="556" t="s">
        <v>1236</v>
      </c>
      <c r="N11" s="556" t="s">
        <v>582</v>
      </c>
      <c r="O11" s="556" t="s">
        <v>581</v>
      </c>
      <c r="P11" s="556"/>
      <c r="Q11" s="555" t="s">
        <v>605</v>
      </c>
      <c r="R11" s="555" t="s">
        <v>6</v>
      </c>
      <c r="S11" s="555" t="s">
        <v>8</v>
      </c>
      <c r="T11" s="555" t="s">
        <v>2</v>
      </c>
      <c r="U11" s="555" t="s">
        <v>10</v>
      </c>
      <c r="V11" s="555" t="s">
        <v>4</v>
      </c>
      <c r="W11" s="555" t="s">
        <v>604</v>
      </c>
      <c r="X11" s="555" t="s">
        <v>3</v>
      </c>
      <c r="Y11" s="555" t="s">
        <v>1</v>
      </c>
      <c r="Z11" s="555" t="s">
        <v>7</v>
      </c>
      <c r="AA11" s="555" t="s">
        <v>9</v>
      </c>
      <c r="AB11" s="555" t="s">
        <v>5</v>
      </c>
      <c r="AC11" s="554"/>
      <c r="AD11" s="554"/>
      <c r="AE11" s="554"/>
      <c r="AF11" s="555" t="s">
        <v>605</v>
      </c>
      <c r="AG11" s="555" t="s">
        <v>6</v>
      </c>
      <c r="AH11" s="555" t="s">
        <v>8</v>
      </c>
      <c r="AI11" s="555" t="s">
        <v>2</v>
      </c>
      <c r="AJ11" s="555" t="s">
        <v>10</v>
      </c>
      <c r="AK11" s="555" t="s">
        <v>4</v>
      </c>
      <c r="AL11" s="555" t="s">
        <v>604</v>
      </c>
      <c r="AM11" s="555" t="s">
        <v>3</v>
      </c>
      <c r="AN11" s="555" t="s">
        <v>1</v>
      </c>
      <c r="AO11" s="555" t="s">
        <v>7</v>
      </c>
      <c r="AP11" s="555" t="s">
        <v>9</v>
      </c>
      <c r="AQ11" s="555" t="s">
        <v>5</v>
      </c>
      <c r="AR11" s="555"/>
      <c r="AV11" s="555" t="s">
        <v>605</v>
      </c>
      <c r="AW11" s="555" t="s">
        <v>6</v>
      </c>
      <c r="AX11" s="555" t="s">
        <v>8</v>
      </c>
      <c r="AY11" s="555" t="s">
        <v>2</v>
      </c>
      <c r="AZ11" s="555" t="s">
        <v>10</v>
      </c>
      <c r="BA11" s="555" t="s">
        <v>4</v>
      </c>
      <c r="BB11" s="555" t="s">
        <v>604</v>
      </c>
      <c r="BC11" s="555" t="s">
        <v>3</v>
      </c>
      <c r="BD11" s="555" t="s">
        <v>1</v>
      </c>
      <c r="BE11" s="555" t="s">
        <v>7</v>
      </c>
      <c r="BF11" s="555" t="s">
        <v>9</v>
      </c>
      <c r="BG11" s="555" t="s">
        <v>5</v>
      </c>
      <c r="BH11" s="555"/>
      <c r="BJ11" s="555" t="s">
        <v>605</v>
      </c>
      <c r="BK11" s="555" t="s">
        <v>6</v>
      </c>
      <c r="BL11" s="555" t="s">
        <v>8</v>
      </c>
      <c r="BM11" s="555" t="s">
        <v>2</v>
      </c>
      <c r="BN11" s="555" t="s">
        <v>10</v>
      </c>
      <c r="BO11" s="555" t="s">
        <v>4</v>
      </c>
      <c r="BP11" s="555" t="s">
        <v>604</v>
      </c>
      <c r="BQ11" s="555" t="s">
        <v>3</v>
      </c>
      <c r="BR11" s="555" t="s">
        <v>1</v>
      </c>
      <c r="BS11" s="555" t="s">
        <v>7</v>
      </c>
      <c r="BT11" s="555" t="s">
        <v>9</v>
      </c>
      <c r="BU11" s="555" t="s">
        <v>5</v>
      </c>
      <c r="BV11" s="555"/>
      <c r="BY11" s="555" t="s">
        <v>605</v>
      </c>
      <c r="BZ11" s="555" t="s">
        <v>6</v>
      </c>
      <c r="CA11" s="555" t="s">
        <v>8</v>
      </c>
      <c r="CB11" s="555" t="s">
        <v>2</v>
      </c>
      <c r="CC11" s="555" t="s">
        <v>10</v>
      </c>
      <c r="CD11" s="555" t="s">
        <v>4</v>
      </c>
      <c r="CE11" s="555" t="s">
        <v>604</v>
      </c>
      <c r="CF11" s="555" t="s">
        <v>3</v>
      </c>
      <c r="CG11" s="555" t="s">
        <v>1</v>
      </c>
      <c r="CH11" s="555" t="s">
        <v>7</v>
      </c>
      <c r="CI11" s="555" t="s">
        <v>9</v>
      </c>
      <c r="CJ11" s="555" t="s">
        <v>5</v>
      </c>
      <c r="CK11" s="555"/>
    </row>
    <row r="12" spans="1:90">
      <c r="A12" s="461" t="s">
        <v>513</v>
      </c>
      <c r="B12" s="435">
        <f t="shared" ref="B12:B23" si="0">$F12*$G12*SUM(L52:N52)</f>
        <v>18.368608638790491</v>
      </c>
      <c r="C12" s="435">
        <f t="shared" ref="C12:C23" si="1">$F12*$G12*SUM(M52:O52)</f>
        <v>21.430043411922242</v>
      </c>
      <c r="D12" s="435">
        <f t="shared" ref="D12:D23" si="2">$F12*$G12*SUM(N52:P52)</f>
        <v>18.368608638790491</v>
      </c>
      <c r="E12" s="516"/>
      <c r="F12" s="202">
        <f>'Graduate Completions'!O17</f>
        <v>3.0615572354211658</v>
      </c>
      <c r="G12" s="202">
        <f>D4*D5</f>
        <v>0.99995999999999996</v>
      </c>
      <c r="H12" s="219"/>
      <c r="I12" s="557" t="s">
        <v>583</v>
      </c>
      <c r="J12" s="14"/>
      <c r="K12" s="558"/>
      <c r="L12" s="510">
        <f>SUM(AF12:AQ12)</f>
        <v>24</v>
      </c>
      <c r="M12" s="1222">
        <f>SUM(AV12:BG12)</f>
        <v>14</v>
      </c>
      <c r="N12" s="1222">
        <f>SUM(BJ12:BU12)</f>
        <v>19</v>
      </c>
      <c r="O12" s="1222">
        <f>SUM(BY12:CJ12)</f>
        <v>21</v>
      </c>
      <c r="P12" s="1223"/>
      <c r="Q12" s="558"/>
      <c r="R12" s="558"/>
      <c r="S12" s="558"/>
      <c r="T12" s="558"/>
      <c r="U12" s="558"/>
      <c r="V12" s="558"/>
      <c r="W12" s="558"/>
      <c r="X12" s="558"/>
      <c r="Y12" s="558"/>
      <c r="Z12" s="558"/>
      <c r="AA12" s="558"/>
      <c r="AB12" s="558"/>
      <c r="AC12" s="558"/>
      <c r="AD12" s="558"/>
      <c r="AE12" s="558"/>
      <c r="AF12" s="14"/>
      <c r="AG12" s="14"/>
      <c r="AH12" s="14">
        <v>4</v>
      </c>
      <c r="AI12" s="14"/>
      <c r="AJ12" s="14"/>
      <c r="AK12" s="14"/>
      <c r="AL12" s="14"/>
      <c r="AM12" s="14">
        <v>20</v>
      </c>
      <c r="AN12" s="14"/>
      <c r="AO12" s="14"/>
      <c r="AP12" s="14"/>
      <c r="AR12" s="572">
        <f>SUM(AF12:AQ12)</f>
        <v>24</v>
      </c>
      <c r="AS12" s="568"/>
      <c r="AT12" s="568"/>
      <c r="AU12" s="568"/>
      <c r="AV12" s="14"/>
      <c r="AW12" s="14"/>
      <c r="AX12" s="14"/>
      <c r="AY12" s="14"/>
      <c r="AZ12" s="14"/>
      <c r="BA12" s="14"/>
      <c r="BB12" s="14">
        <v>1</v>
      </c>
      <c r="BC12" s="14">
        <v>13</v>
      </c>
      <c r="BD12" s="14"/>
      <c r="BE12" s="14"/>
      <c r="BF12" s="14"/>
      <c r="BH12" s="572">
        <f>SUM(AV12:BG12)</f>
        <v>14</v>
      </c>
      <c r="BI12" s="573"/>
      <c r="BJ12" s="14">
        <v>1</v>
      </c>
      <c r="BK12" s="14"/>
      <c r="BL12" s="14">
        <v>1</v>
      </c>
      <c r="BM12" s="14">
        <v>1</v>
      </c>
      <c r="BN12" s="14"/>
      <c r="BO12" s="14"/>
      <c r="BP12" s="14"/>
      <c r="BQ12" s="14">
        <v>16</v>
      </c>
      <c r="BR12" s="14"/>
      <c r="BS12" s="14"/>
      <c r="BT12" s="14"/>
      <c r="BV12" s="572">
        <f>SUM(BJ12:BU12)</f>
        <v>19</v>
      </c>
      <c r="BW12" s="579"/>
      <c r="BY12" s="14"/>
      <c r="BZ12" s="14"/>
      <c r="CA12" s="14">
        <v>2</v>
      </c>
      <c r="CB12" s="14"/>
      <c r="CC12" s="14"/>
      <c r="CD12" s="14"/>
      <c r="CE12" s="14"/>
      <c r="CF12" s="14">
        <v>18</v>
      </c>
      <c r="CG12" s="14"/>
      <c r="CH12" s="14">
        <v>1</v>
      </c>
      <c r="CI12" s="14"/>
      <c r="CK12" s="572">
        <f>SUM(BY12:CJ12)</f>
        <v>21</v>
      </c>
      <c r="CL12" s="579"/>
    </row>
    <row r="13" spans="1:90">
      <c r="A13" s="461" t="s">
        <v>6</v>
      </c>
      <c r="B13" s="435">
        <f t="shared" si="0"/>
        <v>0</v>
      </c>
      <c r="C13" s="435">
        <f t="shared" si="1"/>
        <v>0</v>
      </c>
      <c r="D13" s="435">
        <f t="shared" si="2"/>
        <v>0</v>
      </c>
      <c r="E13" s="516"/>
      <c r="F13" s="202">
        <f>'Graduate Completions'!O18</f>
        <v>4.7633933333333323</v>
      </c>
      <c r="G13" s="202">
        <f>G12</f>
        <v>0.99995999999999996</v>
      </c>
      <c r="H13" s="219"/>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R13" s="572"/>
      <c r="AS13" s="569"/>
      <c r="AT13" s="569"/>
      <c r="AU13" s="569"/>
      <c r="AV13" s="57"/>
      <c r="AW13" s="57"/>
      <c r="AX13" s="57"/>
      <c r="AY13" s="57"/>
      <c r="AZ13" s="57"/>
      <c r="BA13" s="57"/>
      <c r="BB13" s="57"/>
      <c r="BC13" s="57"/>
      <c r="BD13" s="57"/>
      <c r="BE13" s="57"/>
      <c r="BF13" s="57"/>
      <c r="BH13" s="572"/>
      <c r="BI13" s="574"/>
      <c r="BJ13" s="57"/>
      <c r="BK13" s="57"/>
      <c r="BL13" s="57"/>
      <c r="BM13" s="57"/>
      <c r="BN13" s="57"/>
      <c r="BO13" s="57"/>
      <c r="BP13" s="57"/>
      <c r="BQ13" s="57"/>
      <c r="BR13" s="57"/>
      <c r="BS13" s="57"/>
      <c r="BT13" s="57"/>
      <c r="BV13" s="572"/>
      <c r="BW13" s="210"/>
      <c r="BY13" s="57"/>
      <c r="BZ13" s="57"/>
      <c r="CA13" s="57"/>
      <c r="CB13" s="57"/>
      <c r="CC13" s="57"/>
      <c r="CD13" s="57"/>
      <c r="CE13" s="57"/>
      <c r="CF13" s="57"/>
      <c r="CG13" s="57"/>
      <c r="CH13" s="57"/>
      <c r="CI13" s="57"/>
      <c r="CK13" s="572"/>
      <c r="CL13" s="210"/>
    </row>
    <row r="14" spans="1:90">
      <c r="A14" s="461" t="s">
        <v>8</v>
      </c>
      <c r="B14" s="435">
        <f t="shared" si="0"/>
        <v>0</v>
      </c>
      <c r="C14" s="435">
        <f t="shared" si="1"/>
        <v>0</v>
      </c>
      <c r="D14" s="435">
        <f t="shared" si="2"/>
        <v>0</v>
      </c>
      <c r="E14" s="516"/>
      <c r="F14" s="202">
        <f>'Graduate Completions'!O19</f>
        <v>2.5490000000000004</v>
      </c>
      <c r="G14" s="202">
        <f>G13</f>
        <v>0.99995999999999996</v>
      </c>
      <c r="H14" s="219"/>
      <c r="I14" s="559" t="s">
        <v>584</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R14" s="572"/>
      <c r="AS14" s="569"/>
      <c r="AT14" s="569"/>
      <c r="AU14" s="569"/>
      <c r="AV14" s="57"/>
      <c r="AW14" s="57"/>
      <c r="AX14" s="57"/>
      <c r="AY14" s="57"/>
      <c r="AZ14" s="57"/>
      <c r="BA14" s="57"/>
      <c r="BB14" s="57"/>
      <c r="BC14" s="57"/>
      <c r="BD14" s="57"/>
      <c r="BE14" s="57"/>
      <c r="BF14" s="57"/>
      <c r="BH14" s="572"/>
      <c r="BI14" s="574"/>
      <c r="BJ14" s="57"/>
      <c r="BK14" s="57"/>
      <c r="BL14" s="57"/>
      <c r="BM14" s="57"/>
      <c r="BN14" s="57"/>
      <c r="BO14" s="57"/>
      <c r="BP14" s="57"/>
      <c r="BQ14" s="57"/>
      <c r="BR14" s="57"/>
      <c r="BS14" s="57"/>
      <c r="BT14" s="57"/>
      <c r="BV14" s="572"/>
      <c r="BW14" s="210"/>
      <c r="BY14" s="57"/>
      <c r="BZ14" s="57"/>
      <c r="CA14" s="57"/>
      <c r="CB14" s="57"/>
      <c r="CC14" s="57"/>
      <c r="CD14" s="57"/>
      <c r="CE14" s="57"/>
      <c r="CF14" s="57"/>
      <c r="CG14" s="57"/>
      <c r="CH14" s="57"/>
      <c r="CI14" s="57"/>
      <c r="CK14" s="572"/>
      <c r="CL14" s="210"/>
    </row>
    <row r="15" spans="1:90">
      <c r="A15" s="463" t="s">
        <v>2</v>
      </c>
      <c r="B15" s="435">
        <f t="shared" si="0"/>
        <v>7.6466941199999994</v>
      </c>
      <c r="C15" s="435">
        <f t="shared" si="1"/>
        <v>10.195592159999999</v>
      </c>
      <c r="D15" s="435">
        <f t="shared" si="2"/>
        <v>10.195592159999999</v>
      </c>
      <c r="E15" s="516"/>
      <c r="F15" s="202">
        <f>'Graduate Completions'!O20</f>
        <v>2.5489999999999999</v>
      </c>
      <c r="G15" s="202">
        <f>G14</f>
        <v>0.99995999999999996</v>
      </c>
      <c r="H15" s="219"/>
      <c r="I15" s="1224" t="s">
        <v>585</v>
      </c>
      <c r="J15" s="1225"/>
      <c r="K15" s="510"/>
      <c r="L15" s="1226"/>
      <c r="M15" s="1226"/>
      <c r="N15" s="1226"/>
      <c r="O15" s="1226"/>
      <c r="P15" s="1225"/>
      <c r="Q15" s="510"/>
      <c r="R15" s="510"/>
      <c r="S15" s="510"/>
      <c r="T15" s="510"/>
      <c r="U15" s="510"/>
      <c r="V15" s="510"/>
      <c r="W15" s="510"/>
      <c r="X15" s="510"/>
      <c r="Y15" s="510"/>
      <c r="Z15" s="510"/>
      <c r="AA15" s="510"/>
      <c r="AB15" s="510"/>
      <c r="AC15" s="510"/>
      <c r="AD15" s="510"/>
      <c r="AE15" s="510"/>
      <c r="AF15" s="510"/>
      <c r="AG15" s="57"/>
      <c r="AH15" s="57"/>
      <c r="AI15" s="57"/>
      <c r="AJ15" s="57"/>
      <c r="AK15" s="57"/>
      <c r="AL15" s="57"/>
      <c r="AM15" s="57"/>
      <c r="AN15" s="57"/>
      <c r="AO15" s="57"/>
      <c r="AP15" s="57"/>
      <c r="AR15" s="572">
        <f t="shared" ref="AR15:AR21" si="3">SUM(AF15:AQ15)</f>
        <v>0</v>
      </c>
      <c r="AS15" s="570"/>
      <c r="AT15" s="570"/>
      <c r="AU15" s="570"/>
      <c r="AV15" s="510"/>
      <c r="AW15" s="57"/>
      <c r="AX15" s="57"/>
      <c r="AY15" s="57"/>
      <c r="AZ15" s="57"/>
      <c r="BA15" s="57"/>
      <c r="BB15" s="57"/>
      <c r="BC15" s="57"/>
      <c r="BD15" s="57"/>
      <c r="BE15" s="57"/>
      <c r="BF15" s="57"/>
      <c r="BH15" s="572">
        <f t="shared" ref="BH15:BH21" si="4">SUM(AV15:BG15)</f>
        <v>0</v>
      </c>
      <c r="BI15" s="573"/>
      <c r="BJ15" s="510"/>
      <c r="BK15" s="57"/>
      <c r="BL15" s="57"/>
      <c r="BM15" s="57"/>
      <c r="BN15" s="57"/>
      <c r="BO15" s="57"/>
      <c r="BP15" s="57"/>
      <c r="BQ15" s="57"/>
      <c r="BR15" s="57"/>
      <c r="BS15" s="57"/>
      <c r="BT15" s="57"/>
      <c r="BV15" s="572">
        <f t="shared" ref="BV15:BV21" si="5">SUM(BJ15:BU15)</f>
        <v>0</v>
      </c>
      <c r="BW15" s="579"/>
      <c r="BY15" s="510"/>
      <c r="BZ15" s="57"/>
      <c r="CA15" s="57"/>
      <c r="CB15" s="57"/>
      <c r="CC15" s="57"/>
      <c r="CD15" s="57"/>
      <c r="CE15" s="57"/>
      <c r="CF15" s="57"/>
      <c r="CG15" s="57"/>
      <c r="CH15" s="57"/>
      <c r="CI15" s="57"/>
      <c r="CK15" s="572">
        <f t="shared" ref="CK15:CK21" si="6">SUM(BY15:CJ15)</f>
        <v>0</v>
      </c>
      <c r="CL15" s="579"/>
    </row>
    <row r="16" spans="1:90">
      <c r="A16" s="461" t="s">
        <v>10</v>
      </c>
      <c r="B16" s="435">
        <f t="shared" si="0"/>
        <v>5.95176192</v>
      </c>
      <c r="C16" s="435">
        <f t="shared" si="1"/>
        <v>5.95176192</v>
      </c>
      <c r="D16" s="435">
        <f t="shared" si="2"/>
        <v>8.9276428800000005</v>
      </c>
      <c r="E16" s="516"/>
      <c r="F16" s="202">
        <f>'Graduate Completions'!O21</f>
        <v>2.976</v>
      </c>
      <c r="G16" s="202">
        <f>G15</f>
        <v>0.99995999999999996</v>
      </c>
      <c r="H16" s="219"/>
      <c r="I16" s="560" t="s">
        <v>586</v>
      </c>
      <c r="J16" s="57"/>
      <c r="K16" s="510"/>
      <c r="L16" s="510">
        <f>SUM(AF16:AQ16)</f>
        <v>2</v>
      </c>
      <c r="M16" s="1222">
        <f>SUM(AV16:BG16)</f>
        <v>0</v>
      </c>
      <c r="N16" s="1222">
        <f>SUM(BJ16:BU16)</f>
        <v>2</v>
      </c>
      <c r="O16" s="1222">
        <f>SUM(BY16:CJ16)</f>
        <v>0</v>
      </c>
      <c r="P16" s="1223"/>
      <c r="Q16" s="510"/>
      <c r="R16" s="510"/>
      <c r="S16" s="510"/>
      <c r="T16" s="510"/>
      <c r="U16" s="510"/>
      <c r="V16" s="510"/>
      <c r="W16" s="510"/>
      <c r="X16" s="510"/>
      <c r="Y16" s="510"/>
      <c r="Z16" s="510"/>
      <c r="AA16" s="510"/>
      <c r="AB16" s="510"/>
      <c r="AC16" s="510"/>
      <c r="AD16" s="510"/>
      <c r="AE16" s="510"/>
      <c r="AF16" s="1227">
        <v>1</v>
      </c>
      <c r="AG16" s="57"/>
      <c r="AH16" s="57"/>
      <c r="AI16" s="57"/>
      <c r="AJ16" s="57"/>
      <c r="AK16" s="57"/>
      <c r="AL16" s="57"/>
      <c r="AM16" s="57"/>
      <c r="AN16" s="57"/>
      <c r="AO16" s="57"/>
      <c r="AP16" s="57">
        <v>1</v>
      </c>
      <c r="AR16" s="572">
        <f t="shared" si="3"/>
        <v>2</v>
      </c>
      <c r="AS16" s="569"/>
      <c r="AT16" s="569"/>
      <c r="AU16" s="569"/>
      <c r="AV16" s="57"/>
      <c r="AW16" s="57"/>
      <c r="AX16" s="57"/>
      <c r="AY16" s="57"/>
      <c r="AZ16" s="57"/>
      <c r="BA16" s="57"/>
      <c r="BB16" s="57"/>
      <c r="BC16" s="57"/>
      <c r="BD16" s="57"/>
      <c r="BE16" s="57"/>
      <c r="BF16" s="57"/>
      <c r="BH16" s="572">
        <f t="shared" si="4"/>
        <v>0</v>
      </c>
      <c r="BI16" s="573"/>
      <c r="BJ16" s="57">
        <v>2</v>
      </c>
      <c r="BK16" s="57"/>
      <c r="BL16" s="57"/>
      <c r="BM16" s="57"/>
      <c r="BN16" s="57"/>
      <c r="BO16" s="57"/>
      <c r="BP16" s="57"/>
      <c r="BQ16" s="57"/>
      <c r="BR16" s="57"/>
      <c r="BS16" s="57"/>
      <c r="BT16" s="57"/>
      <c r="BV16" s="572">
        <f t="shared" si="5"/>
        <v>2</v>
      </c>
      <c r="BW16" s="579"/>
      <c r="BY16" s="57"/>
      <c r="BZ16" s="57"/>
      <c r="CA16" s="57"/>
      <c r="CB16" s="57"/>
      <c r="CC16" s="57"/>
      <c r="CD16" s="57"/>
      <c r="CE16" s="57"/>
      <c r="CF16" s="57"/>
      <c r="CG16" s="57"/>
      <c r="CH16" s="57"/>
      <c r="CI16" s="57"/>
      <c r="CK16" s="572">
        <f t="shared" si="6"/>
        <v>0</v>
      </c>
      <c r="CL16" s="579"/>
    </row>
    <row r="17" spans="1:90">
      <c r="A17" s="461" t="s">
        <v>4</v>
      </c>
      <c r="B17" s="435">
        <f t="shared" si="0"/>
        <v>2.97588096</v>
      </c>
      <c r="C17" s="435">
        <f t="shared" si="1"/>
        <v>5.95176192</v>
      </c>
      <c r="D17" s="435">
        <f t="shared" si="2"/>
        <v>8.9276428800000005</v>
      </c>
      <c r="E17" s="516"/>
      <c r="F17" s="202">
        <f>'Graduate Completions'!O22</f>
        <v>2.976</v>
      </c>
      <c r="G17" s="202">
        <f>G16</f>
        <v>0.99995999999999996</v>
      </c>
      <c r="H17" s="219"/>
      <c r="I17" s="560" t="s">
        <v>587</v>
      </c>
      <c r="J17" s="57"/>
      <c r="K17" s="510"/>
      <c r="L17" s="510">
        <f>SUM(AF17:AQ17)</f>
        <v>5</v>
      </c>
      <c r="M17" s="1222">
        <f>SUM(AV17:BG17)</f>
        <v>8</v>
      </c>
      <c r="N17" s="1222">
        <f>SUM(BJ17:BU17)</f>
        <v>9</v>
      </c>
      <c r="O17" s="1222">
        <f>SUM(BY17:CJ17)</f>
        <v>4</v>
      </c>
      <c r="P17" s="1223"/>
      <c r="Q17" s="510"/>
      <c r="R17" s="510"/>
      <c r="S17" s="510"/>
      <c r="T17" s="510"/>
      <c r="U17" s="510"/>
      <c r="V17" s="510"/>
      <c r="W17" s="510"/>
      <c r="X17" s="510"/>
      <c r="Y17" s="510"/>
      <c r="Z17" s="510"/>
      <c r="AA17" s="510"/>
      <c r="AB17" s="510"/>
      <c r="AC17" s="510"/>
      <c r="AD17" s="510"/>
      <c r="AE17" s="510"/>
      <c r="AF17" s="57"/>
      <c r="AG17" s="57"/>
      <c r="AH17" s="57"/>
      <c r="AI17" s="57">
        <v>2</v>
      </c>
      <c r="AJ17" s="57"/>
      <c r="AK17" s="57"/>
      <c r="AL17" s="57"/>
      <c r="AM17" s="57"/>
      <c r="AN17" s="57"/>
      <c r="AO17" s="57">
        <v>3</v>
      </c>
      <c r="AP17" s="57"/>
      <c r="AR17" s="572">
        <f t="shared" si="3"/>
        <v>5</v>
      </c>
      <c r="AS17" s="569"/>
      <c r="AT17" s="569"/>
      <c r="AU17" s="569"/>
      <c r="AV17" s="57">
        <v>4</v>
      </c>
      <c r="AW17" s="57"/>
      <c r="AX17" s="57"/>
      <c r="AY17" s="57"/>
      <c r="AZ17" s="57"/>
      <c r="BA17" s="57"/>
      <c r="BB17" s="57"/>
      <c r="BC17" s="57"/>
      <c r="BD17" s="57"/>
      <c r="BE17" s="57">
        <v>4</v>
      </c>
      <c r="BF17" s="57"/>
      <c r="BH17" s="572">
        <f t="shared" si="4"/>
        <v>8</v>
      </c>
      <c r="BI17" s="573"/>
      <c r="BJ17" s="57">
        <v>1</v>
      </c>
      <c r="BK17" s="57"/>
      <c r="BL17" s="57"/>
      <c r="BM17" s="57">
        <v>2</v>
      </c>
      <c r="BN17" s="57"/>
      <c r="BO17" s="57"/>
      <c r="BP17" s="57"/>
      <c r="BQ17" s="57"/>
      <c r="BR17" s="57"/>
      <c r="BS17" s="57">
        <v>4</v>
      </c>
      <c r="BT17" s="57"/>
      <c r="BU17">
        <v>2</v>
      </c>
      <c r="BV17" s="572">
        <f t="shared" si="5"/>
        <v>9</v>
      </c>
      <c r="BW17" s="579"/>
      <c r="BY17" s="57"/>
      <c r="BZ17" s="57"/>
      <c r="CA17" s="57"/>
      <c r="CB17" s="57"/>
      <c r="CC17" s="57"/>
      <c r="CD17" s="57"/>
      <c r="CE17" s="57"/>
      <c r="CF17" s="57"/>
      <c r="CG17" s="57"/>
      <c r="CH17" s="57">
        <v>2</v>
      </c>
      <c r="CI17" s="57"/>
      <c r="CJ17">
        <v>2</v>
      </c>
      <c r="CK17" s="572">
        <f t="shared" si="6"/>
        <v>4</v>
      </c>
      <c r="CL17" s="579"/>
    </row>
    <row r="18" spans="1:90">
      <c r="A18" s="461" t="s">
        <v>14</v>
      </c>
      <c r="B18" s="435">
        <f t="shared" si="0"/>
        <v>5.7437459523920644</v>
      </c>
      <c r="C18" s="435">
        <f t="shared" si="1"/>
        <v>5.7437459523920644</v>
      </c>
      <c r="D18" s="435">
        <f t="shared" si="2"/>
        <v>4.5949967619136514</v>
      </c>
      <c r="E18" s="516"/>
      <c r="F18" s="202">
        <f>'Graduate Completions'!O23</f>
        <v>2.8712987164527424</v>
      </c>
      <c r="G18" s="202">
        <f>D4*D6</f>
        <v>0.20003999999999994</v>
      </c>
      <c r="H18" s="219"/>
      <c r="I18" s="560" t="s">
        <v>588</v>
      </c>
      <c r="J18" s="57"/>
      <c r="K18" s="510"/>
      <c r="L18" s="510">
        <f>SUM(AF18:AQ18)</f>
        <v>1</v>
      </c>
      <c r="M18" s="1222">
        <f>SUM(AV18:BG18)</f>
        <v>6</v>
      </c>
      <c r="N18" s="1222">
        <f>SUM(BJ18:BU18)</f>
        <v>6</v>
      </c>
      <c r="O18" s="1222">
        <f>SUM(BY18:CJ18)</f>
        <v>14</v>
      </c>
      <c r="P18" s="1223"/>
      <c r="Q18" s="510"/>
      <c r="R18" s="510"/>
      <c r="S18" s="510"/>
      <c r="T18" s="510"/>
      <c r="U18" s="510"/>
      <c r="V18" s="510"/>
      <c r="W18" s="510"/>
      <c r="X18" s="510"/>
      <c r="Y18" s="510"/>
      <c r="Z18" s="510"/>
      <c r="AA18" s="510"/>
      <c r="AB18" s="510"/>
      <c r="AC18" s="510"/>
      <c r="AD18" s="510"/>
      <c r="AE18" s="510"/>
      <c r="AF18" s="57"/>
      <c r="AG18" s="57"/>
      <c r="AH18" s="57"/>
      <c r="AI18" s="57"/>
      <c r="AJ18" s="57"/>
      <c r="AK18" s="57"/>
      <c r="AL18" s="57">
        <v>1</v>
      </c>
      <c r="AM18" s="57"/>
      <c r="AN18" s="57"/>
      <c r="AO18" s="57"/>
      <c r="AP18" s="57"/>
      <c r="AR18" s="572">
        <f t="shared" si="3"/>
        <v>1</v>
      </c>
      <c r="AS18" s="569"/>
      <c r="AT18" s="569"/>
      <c r="AU18" s="569"/>
      <c r="AV18" s="57">
        <v>1</v>
      </c>
      <c r="AW18" s="57"/>
      <c r="AX18" s="57"/>
      <c r="AY18" s="57"/>
      <c r="AZ18" s="57"/>
      <c r="BA18" s="57"/>
      <c r="BB18" s="57">
        <v>5</v>
      </c>
      <c r="BC18" s="57"/>
      <c r="BD18" s="57"/>
      <c r="BE18" s="57"/>
      <c r="BF18" s="57"/>
      <c r="BH18" s="572">
        <f t="shared" si="4"/>
        <v>6</v>
      </c>
      <c r="BI18" s="573"/>
      <c r="BJ18" s="57"/>
      <c r="BK18" s="57"/>
      <c r="BL18" s="57"/>
      <c r="BM18" s="57"/>
      <c r="BN18" s="57"/>
      <c r="BO18" s="57"/>
      <c r="BP18" s="57">
        <v>5</v>
      </c>
      <c r="BQ18" s="57">
        <v>1</v>
      </c>
      <c r="BR18" s="57"/>
      <c r="BS18" s="57"/>
      <c r="BT18" s="57"/>
      <c r="BV18" s="572">
        <f t="shared" si="5"/>
        <v>6</v>
      </c>
      <c r="BW18" s="579"/>
      <c r="BY18" s="57">
        <v>1</v>
      </c>
      <c r="BZ18" s="57"/>
      <c r="CA18" s="57"/>
      <c r="CB18" s="57"/>
      <c r="CC18" s="57"/>
      <c r="CD18" s="57"/>
      <c r="CE18" s="57">
        <v>13</v>
      </c>
      <c r="CF18" s="57"/>
      <c r="CG18" s="57"/>
      <c r="CH18" s="57"/>
      <c r="CI18" s="57"/>
      <c r="CK18" s="572">
        <f t="shared" si="6"/>
        <v>14</v>
      </c>
      <c r="CL18" s="579"/>
    </row>
    <row r="19" spans="1:90">
      <c r="A19" s="463" t="s">
        <v>17</v>
      </c>
      <c r="B19" s="435">
        <f t="shared" si="0"/>
        <v>0</v>
      </c>
      <c r="C19" s="435">
        <f t="shared" si="1"/>
        <v>0</v>
      </c>
      <c r="D19" s="435">
        <f t="shared" si="2"/>
        <v>0</v>
      </c>
      <c r="E19" s="516"/>
      <c r="F19" s="202">
        <f>'Graduate Completions'!O24</f>
        <v>3.2494553686934022</v>
      </c>
      <c r="G19" s="202">
        <f>G17</f>
        <v>0.99995999999999996</v>
      </c>
      <c r="H19" s="219"/>
      <c r="I19" s="560" t="s">
        <v>589</v>
      </c>
      <c r="J19" s="57"/>
      <c r="K19" s="510"/>
      <c r="L19" s="510">
        <f>SUM(AF19:AQ19)</f>
        <v>9</v>
      </c>
      <c r="M19" s="1222">
        <f>SUM(AV19:BG19)</f>
        <v>6</v>
      </c>
      <c r="N19" s="1222">
        <f>SUM(BJ19:BU19)</f>
        <v>1</v>
      </c>
      <c r="O19" s="1222">
        <f>SUM(BY19:CJ19)</f>
        <v>10</v>
      </c>
      <c r="P19" s="1223"/>
      <c r="Q19" s="510"/>
      <c r="R19" s="510"/>
      <c r="S19" s="510"/>
      <c r="T19" s="510"/>
      <c r="U19" s="510"/>
      <c r="V19" s="510"/>
      <c r="W19" s="510"/>
      <c r="X19" s="510"/>
      <c r="Y19" s="510"/>
      <c r="Z19" s="510"/>
      <c r="AA19" s="510"/>
      <c r="AB19" s="510"/>
      <c r="AC19" s="510"/>
      <c r="AD19" s="510"/>
      <c r="AE19" s="510"/>
      <c r="AF19" s="1227">
        <v>1</v>
      </c>
      <c r="AG19" s="57"/>
      <c r="AH19" s="57"/>
      <c r="AI19" s="57"/>
      <c r="AJ19" s="57"/>
      <c r="AK19" s="57"/>
      <c r="AL19" s="57"/>
      <c r="AM19" s="57">
        <v>2</v>
      </c>
      <c r="AN19" s="57"/>
      <c r="AO19" s="57"/>
      <c r="AP19" s="57"/>
      <c r="AQ19">
        <v>6</v>
      </c>
      <c r="AR19" s="572">
        <f t="shared" si="3"/>
        <v>9</v>
      </c>
      <c r="AS19" s="569"/>
      <c r="AT19" s="569"/>
      <c r="AU19" s="569"/>
      <c r="AV19" s="57">
        <v>3</v>
      </c>
      <c r="AW19" s="57"/>
      <c r="AX19" s="57"/>
      <c r="AY19" s="57"/>
      <c r="AZ19" s="57"/>
      <c r="BA19" s="57"/>
      <c r="BB19" s="57"/>
      <c r="BC19" s="57"/>
      <c r="BD19" s="57"/>
      <c r="BE19" s="57"/>
      <c r="BF19" s="57"/>
      <c r="BG19">
        <v>3</v>
      </c>
      <c r="BH19" s="572">
        <f t="shared" si="4"/>
        <v>6</v>
      </c>
      <c r="BI19" s="573"/>
      <c r="BJ19" s="57"/>
      <c r="BK19" s="57"/>
      <c r="BL19" s="57"/>
      <c r="BM19" s="57"/>
      <c r="BN19" s="57"/>
      <c r="BO19" s="57"/>
      <c r="BP19" s="57"/>
      <c r="BQ19" s="57">
        <v>1</v>
      </c>
      <c r="BR19" s="57"/>
      <c r="BS19" s="57"/>
      <c r="BT19" s="57"/>
      <c r="BV19" s="572">
        <f t="shared" si="5"/>
        <v>1</v>
      </c>
      <c r="BW19" s="579"/>
      <c r="BY19" s="57">
        <v>4</v>
      </c>
      <c r="BZ19" s="57"/>
      <c r="CA19" s="57"/>
      <c r="CB19" s="57"/>
      <c r="CC19" s="57"/>
      <c r="CD19" s="57"/>
      <c r="CE19" s="57"/>
      <c r="CF19" s="57">
        <v>4</v>
      </c>
      <c r="CG19" s="57"/>
      <c r="CH19" s="57"/>
      <c r="CI19" s="57"/>
      <c r="CJ19">
        <v>2</v>
      </c>
      <c r="CK19" s="572">
        <f t="shared" si="6"/>
        <v>10</v>
      </c>
      <c r="CL19" s="579"/>
    </row>
    <row r="20" spans="1:90">
      <c r="A20" s="461" t="s">
        <v>316</v>
      </c>
      <c r="B20" s="435">
        <f t="shared" si="0"/>
        <v>0</v>
      </c>
      <c r="C20" s="435">
        <f t="shared" si="1"/>
        <v>0</v>
      </c>
      <c r="D20" s="435">
        <f t="shared" si="2"/>
        <v>0</v>
      </c>
      <c r="E20" s="516"/>
      <c r="F20" s="202">
        <f>'Graduate Completions'!O25</f>
        <v>0</v>
      </c>
      <c r="G20" s="202">
        <f>G19</f>
        <v>0.99995999999999996</v>
      </c>
      <c r="H20" s="219"/>
      <c r="I20" s="560" t="s">
        <v>590</v>
      </c>
      <c r="J20" s="57"/>
      <c r="K20" s="510"/>
      <c r="L20" s="510">
        <f>SUM(AF20:AQ20)</f>
        <v>4</v>
      </c>
      <c r="M20" s="1222">
        <f>SUM(AV20:BG20)</f>
        <v>10</v>
      </c>
      <c r="N20" s="1222">
        <f>SUM(BJ20:BU20)</f>
        <v>5</v>
      </c>
      <c r="O20" s="1222">
        <f>SUM(BY20:CJ20)</f>
        <v>0</v>
      </c>
      <c r="P20" s="1223"/>
      <c r="Q20" s="510"/>
      <c r="R20" s="510"/>
      <c r="S20" s="510"/>
      <c r="T20" s="510"/>
      <c r="U20" s="510"/>
      <c r="V20" s="510"/>
      <c r="W20" s="510"/>
      <c r="X20" s="510"/>
      <c r="Y20" s="510"/>
      <c r="Z20" s="510"/>
      <c r="AA20" s="510"/>
      <c r="AB20" s="510"/>
      <c r="AC20" s="510"/>
      <c r="AD20" s="510"/>
      <c r="AE20" s="510"/>
      <c r="AF20" s="1227">
        <v>2</v>
      </c>
      <c r="AG20" s="57"/>
      <c r="AH20" s="57"/>
      <c r="AI20" s="57">
        <v>1</v>
      </c>
      <c r="AJ20" s="57"/>
      <c r="AK20" s="57"/>
      <c r="AL20" s="57"/>
      <c r="AM20" s="57"/>
      <c r="AN20" s="57"/>
      <c r="AO20" s="57"/>
      <c r="AP20" s="57"/>
      <c r="AQ20">
        <v>1</v>
      </c>
      <c r="AR20" s="572">
        <f t="shared" si="3"/>
        <v>4</v>
      </c>
      <c r="AS20" s="569"/>
      <c r="AT20" s="569"/>
      <c r="AU20" s="569"/>
      <c r="AV20" s="43">
        <v>1</v>
      </c>
      <c r="AW20" s="57"/>
      <c r="AX20" s="57"/>
      <c r="AY20" s="57">
        <v>1</v>
      </c>
      <c r="AZ20" s="57"/>
      <c r="BA20" s="57"/>
      <c r="BB20" s="57"/>
      <c r="BC20" s="57">
        <v>2</v>
      </c>
      <c r="BD20" s="57"/>
      <c r="BE20" s="57">
        <v>3</v>
      </c>
      <c r="BF20" s="57"/>
      <c r="BG20">
        <v>3</v>
      </c>
      <c r="BH20" s="572">
        <f t="shared" si="4"/>
        <v>10</v>
      </c>
      <c r="BI20" s="573"/>
      <c r="BJ20" s="57"/>
      <c r="BK20" s="57"/>
      <c r="BL20" s="57"/>
      <c r="BM20" s="57"/>
      <c r="BN20" s="57"/>
      <c r="BO20" s="57"/>
      <c r="BP20" s="57"/>
      <c r="BQ20" s="57"/>
      <c r="BR20" s="57"/>
      <c r="BS20" s="57"/>
      <c r="BT20" s="57"/>
      <c r="BU20">
        <v>5</v>
      </c>
      <c r="BV20" s="572">
        <f t="shared" si="5"/>
        <v>5</v>
      </c>
      <c r="BW20" s="579"/>
      <c r="BY20" s="57"/>
      <c r="BZ20" s="57"/>
      <c r="CA20" s="57"/>
      <c r="CB20" s="57"/>
      <c r="CC20" s="57"/>
      <c r="CD20" s="57"/>
      <c r="CE20" s="57"/>
      <c r="CF20" s="57"/>
      <c r="CG20" s="57"/>
      <c r="CH20" s="57"/>
      <c r="CI20" s="57"/>
      <c r="CK20" s="572">
        <f t="shared" si="6"/>
        <v>0</v>
      </c>
      <c r="CL20" s="579"/>
    </row>
    <row r="21" spans="1:90">
      <c r="A21" s="461" t="s">
        <v>7</v>
      </c>
      <c r="B21" s="435">
        <f t="shared" si="0"/>
        <v>5.9517619200000018</v>
      </c>
      <c r="C21" s="435">
        <f t="shared" si="1"/>
        <v>8.9276428800000023</v>
      </c>
      <c r="D21" s="435">
        <f t="shared" si="2"/>
        <v>11.903523840000004</v>
      </c>
      <c r="E21" s="516"/>
      <c r="F21" s="202">
        <f>'Graduate Completions'!O26</f>
        <v>2.9760000000000009</v>
      </c>
      <c r="G21" s="202">
        <f>G20</f>
        <v>0.99995999999999996</v>
      </c>
      <c r="H21" s="219"/>
      <c r="I21" s="560"/>
      <c r="J21" s="57"/>
      <c r="K21" s="510"/>
      <c r="L21" s="510"/>
      <c r="M21" s="1228"/>
      <c r="N21" s="1228"/>
      <c r="O21" s="1228"/>
      <c r="P21" s="1229"/>
      <c r="Q21" s="510"/>
      <c r="R21" s="510"/>
      <c r="S21" s="510"/>
      <c r="T21" s="510"/>
      <c r="U21" s="510"/>
      <c r="V21" s="510"/>
      <c r="W21" s="510"/>
      <c r="X21" s="510"/>
      <c r="Y21" s="510"/>
      <c r="Z21" s="510"/>
      <c r="AA21" s="510"/>
      <c r="AB21" s="510"/>
      <c r="AC21" s="510"/>
      <c r="AD21" s="510"/>
      <c r="AE21" s="510"/>
      <c r="AF21" s="57"/>
      <c r="AG21" s="57"/>
      <c r="AH21" s="57"/>
      <c r="AI21" s="43"/>
      <c r="AJ21" s="57"/>
      <c r="AK21" s="43"/>
      <c r="AL21" s="57"/>
      <c r="AM21" s="57"/>
      <c r="AN21" s="57"/>
      <c r="AO21" s="57"/>
      <c r="AP21" s="57"/>
      <c r="AR21" s="572">
        <f t="shared" si="3"/>
        <v>0</v>
      </c>
      <c r="AS21" s="569"/>
      <c r="AT21" s="569"/>
      <c r="AU21" s="569"/>
      <c r="AV21" s="57"/>
      <c r="AW21" s="57"/>
      <c r="AX21" s="57"/>
      <c r="AY21" s="43"/>
      <c r="AZ21" s="57"/>
      <c r="BA21" s="43"/>
      <c r="BB21" s="57"/>
      <c r="BC21" s="57"/>
      <c r="BD21" s="57"/>
      <c r="BE21" s="57"/>
      <c r="BF21" s="57"/>
      <c r="BH21" s="572">
        <f t="shared" si="4"/>
        <v>0</v>
      </c>
      <c r="BI21" s="573"/>
      <c r="BJ21" s="57"/>
      <c r="BK21" s="57"/>
      <c r="BL21" s="57"/>
      <c r="BM21" s="43"/>
      <c r="BN21" s="57"/>
      <c r="BO21" s="43"/>
      <c r="BP21" s="57"/>
      <c r="BQ21" s="57"/>
      <c r="BR21" s="57"/>
      <c r="BS21" s="57"/>
      <c r="BT21" s="57"/>
      <c r="BV21" s="572">
        <f t="shared" si="5"/>
        <v>0</v>
      </c>
      <c r="BW21" s="579"/>
      <c r="BY21" s="57"/>
      <c r="BZ21" s="57"/>
      <c r="CA21" s="57"/>
      <c r="CB21" s="43"/>
      <c r="CC21" s="57"/>
      <c r="CD21" s="43"/>
      <c r="CE21" s="57"/>
      <c r="CF21" s="57"/>
      <c r="CG21" s="57"/>
      <c r="CH21" s="57"/>
      <c r="CI21" s="57"/>
      <c r="CK21" s="572">
        <f t="shared" si="6"/>
        <v>0</v>
      </c>
      <c r="CL21" s="579"/>
    </row>
    <row r="22" spans="1:90">
      <c r="A22" s="461" t="s">
        <v>9</v>
      </c>
      <c r="B22" s="435">
        <f t="shared" si="0"/>
        <v>5.937000194157303</v>
      </c>
      <c r="C22" s="435">
        <f t="shared" si="1"/>
        <v>5.937000194157303</v>
      </c>
      <c r="D22" s="435">
        <f t="shared" si="2"/>
        <v>8.9055002912359544</v>
      </c>
      <c r="E22" s="516"/>
      <c r="F22" s="202">
        <f>'Graduate Completions'!O27</f>
        <v>2.9686188418323249</v>
      </c>
      <c r="G22" s="202">
        <f>G21</f>
        <v>0.99995999999999996</v>
      </c>
      <c r="H22" s="219"/>
      <c r="I22" s="563" t="s">
        <v>591</v>
      </c>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575"/>
      <c r="AS22" s="568"/>
      <c r="AT22" s="568"/>
      <c r="AU22" s="568"/>
      <c r="AV22" s="14"/>
      <c r="AW22" s="14"/>
      <c r="AX22" s="14"/>
      <c r="AY22" s="14"/>
      <c r="AZ22" s="14"/>
      <c r="BA22" s="14"/>
      <c r="BB22" s="14"/>
      <c r="BC22" s="14"/>
      <c r="BD22" s="14"/>
      <c r="BE22" s="14"/>
      <c r="BF22" s="14"/>
      <c r="BG22" s="14"/>
      <c r="BH22" s="575"/>
      <c r="BI22" s="574"/>
      <c r="BJ22" s="14"/>
      <c r="BK22" s="14"/>
      <c r="BL22" s="14"/>
      <c r="BM22" s="14"/>
      <c r="BN22" s="14"/>
      <c r="BO22" s="14"/>
      <c r="BP22" s="14"/>
      <c r="BQ22" s="14"/>
      <c r="BR22" s="14"/>
      <c r="BS22" s="14"/>
      <c r="BT22" s="14"/>
      <c r="BU22" s="14"/>
      <c r="BV22" s="575"/>
      <c r="BW22" s="210"/>
      <c r="BY22" s="14"/>
      <c r="BZ22" s="14"/>
      <c r="CA22" s="14"/>
      <c r="CB22" s="14"/>
      <c r="CC22" s="14"/>
      <c r="CD22" s="14"/>
      <c r="CE22" s="14"/>
      <c r="CF22" s="14"/>
      <c r="CG22" s="14"/>
      <c r="CH22" s="14"/>
      <c r="CI22" s="14"/>
      <c r="CJ22" s="14"/>
      <c r="CK22" s="575"/>
      <c r="CL22" s="210"/>
    </row>
    <row r="23" spans="1:90">
      <c r="A23" s="463" t="s">
        <v>5</v>
      </c>
      <c r="B23" s="435">
        <f t="shared" si="0"/>
        <v>11.881342909090909</v>
      </c>
      <c r="C23" s="435">
        <f t="shared" si="1"/>
        <v>17.822014363636363</v>
      </c>
      <c r="D23" s="435">
        <f t="shared" si="2"/>
        <v>17.822014363636363</v>
      </c>
      <c r="E23" s="516"/>
      <c r="F23" s="202">
        <f>'Graduate Completions'!O28</f>
        <v>2.9704545454545457</v>
      </c>
      <c r="G23" s="202">
        <f>G22</f>
        <v>0.99995999999999996</v>
      </c>
      <c r="H23" s="219"/>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2">
        <f t="shared" ref="AR23:AR29" si="7">SUM(AF23:AQ23)</f>
        <v>0</v>
      </c>
      <c r="AS23" s="569"/>
      <c r="AT23" s="569"/>
      <c r="AU23" s="569"/>
      <c r="AV23" s="57"/>
      <c r="AW23" s="57"/>
      <c r="AX23" s="57"/>
      <c r="AY23" s="57"/>
      <c r="AZ23" s="57"/>
      <c r="BA23" s="57"/>
      <c r="BB23" s="57"/>
      <c r="BC23" s="57"/>
      <c r="BD23" s="57"/>
      <c r="BE23" s="57"/>
      <c r="BF23" s="57"/>
      <c r="BG23" s="57"/>
      <c r="BH23" s="572">
        <f t="shared" ref="BH23:BH29" si="8">SUM(AV23:BG23)</f>
        <v>0</v>
      </c>
      <c r="BI23" s="574"/>
      <c r="BJ23" s="57"/>
      <c r="BK23" s="57"/>
      <c r="BL23" s="57"/>
      <c r="BM23" s="57"/>
      <c r="BN23" s="57"/>
      <c r="BO23" s="57"/>
      <c r="BP23" s="57"/>
      <c r="BQ23" s="57"/>
      <c r="BR23" s="57"/>
      <c r="BS23" s="57"/>
      <c r="BT23" s="57"/>
      <c r="BU23" s="57"/>
      <c r="BV23" s="572">
        <f t="shared" ref="BV23:BV29" si="9">SUM(BJ23:BU23)</f>
        <v>0</v>
      </c>
      <c r="BW23" s="210"/>
      <c r="BY23" s="57"/>
      <c r="BZ23" s="57"/>
      <c r="CA23" s="57"/>
      <c r="CB23" s="57"/>
      <c r="CC23" s="57"/>
      <c r="CD23" s="57"/>
      <c r="CE23" s="57"/>
      <c r="CF23" s="57"/>
      <c r="CG23" s="57"/>
      <c r="CH23" s="57"/>
      <c r="CI23" s="57"/>
      <c r="CJ23" s="57"/>
      <c r="CK23" s="572">
        <f t="shared" ref="CK23:CK29" si="10">SUM(BY23:CJ23)</f>
        <v>0</v>
      </c>
      <c r="CL23" s="210"/>
    </row>
    <row r="24" spans="1:90">
      <c r="A24" s="461"/>
      <c r="B24" s="434"/>
      <c r="C24" s="434"/>
      <c r="D24" s="434"/>
      <c r="E24" s="452"/>
      <c r="H24" s="219"/>
      <c r="I24" s="560" t="s">
        <v>586</v>
      </c>
      <c r="J24" s="57"/>
      <c r="K24" s="510"/>
      <c r="L24" s="510">
        <f>SUM(AF24:AQ24)</f>
        <v>4</v>
      </c>
      <c r="M24" s="1222">
        <f>SUM(AV24:BG24)</f>
        <v>2</v>
      </c>
      <c r="N24" s="1222">
        <f>SUM(BJ24:BU24)</f>
        <v>5</v>
      </c>
      <c r="O24" s="1222">
        <f>SUM(BY24:CJ24)</f>
        <v>5</v>
      </c>
      <c r="P24" s="1223"/>
      <c r="Q24" s="510"/>
      <c r="R24" s="510"/>
      <c r="S24" s="510"/>
      <c r="T24" s="510"/>
      <c r="U24" s="510"/>
      <c r="V24" s="510"/>
      <c r="W24" s="510"/>
      <c r="X24" s="510"/>
      <c r="Y24" s="510"/>
      <c r="Z24" s="510"/>
      <c r="AA24" s="510"/>
      <c r="AB24" s="510"/>
      <c r="AC24" s="510"/>
      <c r="AD24" s="510"/>
      <c r="AE24" s="510"/>
      <c r="AF24" s="1227">
        <v>2</v>
      </c>
      <c r="AG24" s="57"/>
      <c r="AH24" s="57"/>
      <c r="AI24" s="57"/>
      <c r="AJ24" s="57">
        <v>1</v>
      </c>
      <c r="AK24" s="57">
        <v>1</v>
      </c>
      <c r="AL24" s="57"/>
      <c r="AM24" s="57"/>
      <c r="AN24" s="57"/>
      <c r="AO24" s="57"/>
      <c r="AP24" s="57"/>
      <c r="AQ24" s="57"/>
      <c r="AR24" s="572">
        <f t="shared" si="7"/>
        <v>4</v>
      </c>
      <c r="AS24" s="569"/>
      <c r="AT24" s="569"/>
      <c r="AU24" s="569"/>
      <c r="AV24" s="57">
        <v>1</v>
      </c>
      <c r="AW24" s="57"/>
      <c r="AX24" s="57"/>
      <c r="AY24" s="57"/>
      <c r="AZ24" s="57"/>
      <c r="BA24" s="57"/>
      <c r="BB24" s="57"/>
      <c r="BC24" s="57"/>
      <c r="BD24" s="57">
        <v>1</v>
      </c>
      <c r="BE24" s="57"/>
      <c r="BF24" s="57"/>
      <c r="BG24" s="57"/>
      <c r="BH24" s="572">
        <f t="shared" si="8"/>
        <v>2</v>
      </c>
      <c r="BI24" s="573"/>
      <c r="BJ24" s="57">
        <v>1</v>
      </c>
      <c r="BK24" s="57"/>
      <c r="BL24" s="57"/>
      <c r="BM24" s="57"/>
      <c r="BN24" s="57">
        <v>1</v>
      </c>
      <c r="BO24" s="57"/>
      <c r="BP24" s="57"/>
      <c r="BQ24" s="57"/>
      <c r="BR24" s="57">
        <v>2</v>
      </c>
      <c r="BS24" s="57"/>
      <c r="BT24" s="57">
        <v>1</v>
      </c>
      <c r="BU24" s="57"/>
      <c r="BV24" s="572">
        <f t="shared" si="9"/>
        <v>5</v>
      </c>
      <c r="BW24" s="579"/>
      <c r="BY24" s="57"/>
      <c r="BZ24" s="57"/>
      <c r="CA24" s="57"/>
      <c r="CB24" s="57"/>
      <c r="CC24" s="57">
        <v>1</v>
      </c>
      <c r="CD24" s="57">
        <v>4</v>
      </c>
      <c r="CE24" s="57"/>
      <c r="CF24" s="57"/>
      <c r="CG24" s="57"/>
      <c r="CH24" s="57"/>
      <c r="CI24" s="57"/>
      <c r="CJ24" s="57"/>
      <c r="CK24" s="572">
        <f t="shared" si="10"/>
        <v>5</v>
      </c>
      <c r="CL24" s="579"/>
    </row>
    <row r="25" spans="1:90">
      <c r="A25" s="461" t="s">
        <v>516</v>
      </c>
      <c r="B25" s="435">
        <f t="shared" ref="B25:D29" si="11">$F25*$G25*SUM(L65:N65)</f>
        <v>0</v>
      </c>
      <c r="C25" s="435">
        <f t="shared" si="11"/>
        <v>0</v>
      </c>
      <c r="D25" s="435">
        <f t="shared" si="11"/>
        <v>0</v>
      </c>
      <c r="E25" s="516"/>
      <c r="F25">
        <v>0</v>
      </c>
      <c r="G25">
        <f>G24</f>
        <v>0</v>
      </c>
      <c r="H25" s="219"/>
      <c r="I25" s="560" t="s">
        <v>587</v>
      </c>
      <c r="J25" s="57"/>
      <c r="K25" s="510"/>
      <c r="L25" s="510">
        <f>SUM(AF25:AQ25)</f>
        <v>2</v>
      </c>
      <c r="M25" s="1222">
        <f>SUM(AV25:BG25)</f>
        <v>2</v>
      </c>
      <c r="N25" s="1222">
        <f>SUM(BJ25:BU25)</f>
        <v>1</v>
      </c>
      <c r="O25" s="1222">
        <f>SUM(BY25:CJ25)</f>
        <v>5</v>
      </c>
      <c r="P25" s="1223"/>
      <c r="Q25" s="510"/>
      <c r="R25" s="510"/>
      <c r="S25" s="510"/>
      <c r="T25" s="510"/>
      <c r="U25" s="510"/>
      <c r="V25" s="510"/>
      <c r="W25" s="510"/>
      <c r="X25" s="510"/>
      <c r="Y25" s="510"/>
      <c r="Z25" s="510"/>
      <c r="AA25" s="510"/>
      <c r="AB25" s="510"/>
      <c r="AC25" s="510"/>
      <c r="AD25" s="510"/>
      <c r="AE25" s="510"/>
      <c r="AF25" s="43"/>
      <c r="AG25" s="57"/>
      <c r="AH25" s="57"/>
      <c r="AI25" s="57"/>
      <c r="AJ25" s="57"/>
      <c r="AK25" s="57"/>
      <c r="AL25" s="57"/>
      <c r="AM25" s="57"/>
      <c r="AN25" s="57"/>
      <c r="AO25" s="57">
        <v>1</v>
      </c>
      <c r="AP25" s="57"/>
      <c r="AQ25" s="57">
        <v>1</v>
      </c>
      <c r="AR25" s="572">
        <f t="shared" si="7"/>
        <v>2</v>
      </c>
      <c r="AS25" s="569"/>
      <c r="AT25" s="569"/>
      <c r="AU25" s="569"/>
      <c r="AV25" s="43">
        <v>1</v>
      </c>
      <c r="AW25" s="57"/>
      <c r="AX25" s="57"/>
      <c r="AY25" s="57"/>
      <c r="AZ25" s="57"/>
      <c r="BA25" s="57"/>
      <c r="BB25" s="57"/>
      <c r="BC25" s="57"/>
      <c r="BD25" s="57"/>
      <c r="BE25" s="57"/>
      <c r="BF25" s="57"/>
      <c r="BG25" s="57">
        <v>1</v>
      </c>
      <c r="BH25" s="572">
        <f t="shared" si="8"/>
        <v>2</v>
      </c>
      <c r="BI25" s="573"/>
      <c r="BJ25" s="43"/>
      <c r="BK25" s="57"/>
      <c r="BL25" s="57"/>
      <c r="BM25" s="57"/>
      <c r="BN25" s="57"/>
      <c r="BO25" s="57"/>
      <c r="BP25" s="57"/>
      <c r="BQ25" s="57"/>
      <c r="BR25" s="57"/>
      <c r="BS25" s="57">
        <v>1</v>
      </c>
      <c r="BT25" s="57"/>
      <c r="BU25" s="57"/>
      <c r="BV25" s="572">
        <f t="shared" si="9"/>
        <v>1</v>
      </c>
      <c r="BW25" s="579"/>
      <c r="BY25" s="43"/>
      <c r="BZ25" s="57"/>
      <c r="CA25" s="57"/>
      <c r="CB25" s="57"/>
      <c r="CC25" s="57"/>
      <c r="CD25" s="57"/>
      <c r="CE25" s="57"/>
      <c r="CF25" s="57"/>
      <c r="CG25" s="57"/>
      <c r="CH25" s="57">
        <v>4</v>
      </c>
      <c r="CI25" s="57"/>
      <c r="CJ25" s="57">
        <v>1</v>
      </c>
      <c r="CK25" s="572">
        <f t="shared" si="10"/>
        <v>5</v>
      </c>
      <c r="CL25" s="579"/>
    </row>
    <row r="26" spans="1:90">
      <c r="A26" s="461" t="s">
        <v>537</v>
      </c>
      <c r="B26" s="435">
        <f t="shared" si="11"/>
        <v>0</v>
      </c>
      <c r="C26" s="435">
        <f t="shared" si="11"/>
        <v>0</v>
      </c>
      <c r="D26" s="435">
        <f t="shared" si="11"/>
        <v>0</v>
      </c>
      <c r="E26" s="516"/>
      <c r="F26">
        <v>0</v>
      </c>
      <c r="G26">
        <f>G25</f>
        <v>0</v>
      </c>
      <c r="H26" s="219"/>
      <c r="I26" s="1224" t="s">
        <v>585</v>
      </c>
      <c r="J26" s="1225"/>
      <c r="K26" s="510"/>
      <c r="L26" s="1226"/>
      <c r="M26" s="1226"/>
      <c r="N26" s="1226"/>
      <c r="O26" s="1226"/>
      <c r="P26" s="1225"/>
      <c r="Q26" s="510"/>
      <c r="R26" s="510"/>
      <c r="S26" s="510"/>
      <c r="T26" s="510"/>
      <c r="U26" s="510"/>
      <c r="V26" s="510"/>
      <c r="W26" s="510"/>
      <c r="X26" s="510"/>
      <c r="Y26" s="510"/>
      <c r="Z26" s="510"/>
      <c r="AA26" s="510"/>
      <c r="AB26" s="510"/>
      <c r="AC26" s="510"/>
      <c r="AD26" s="510"/>
      <c r="AE26" s="510"/>
      <c r="AF26" s="43"/>
      <c r="AG26" s="57"/>
      <c r="AH26" s="57"/>
      <c r="AI26" s="57"/>
      <c r="AJ26" s="57"/>
      <c r="AK26" s="57"/>
      <c r="AL26" s="57"/>
      <c r="AM26" s="57"/>
      <c r="AN26" s="57"/>
      <c r="AO26" s="57"/>
      <c r="AP26" s="57"/>
      <c r="AQ26" s="57"/>
      <c r="AR26" s="572">
        <f t="shared" si="7"/>
        <v>0</v>
      </c>
      <c r="AS26" s="570"/>
      <c r="AT26" s="570"/>
      <c r="AU26" s="570"/>
      <c r="AV26" s="43"/>
      <c r="AW26" s="57"/>
      <c r="AX26" s="57"/>
      <c r="AY26" s="57"/>
      <c r="AZ26" s="57"/>
      <c r="BA26" s="57"/>
      <c r="BB26" s="57"/>
      <c r="BC26" s="57"/>
      <c r="BD26" s="57"/>
      <c r="BE26" s="57"/>
      <c r="BF26" s="57"/>
      <c r="BG26" s="57"/>
      <c r="BH26" s="572">
        <f t="shared" si="8"/>
        <v>0</v>
      </c>
      <c r="BI26" s="573"/>
      <c r="BJ26" s="43"/>
      <c r="BK26" s="57"/>
      <c r="BL26" s="57"/>
      <c r="BM26" s="57"/>
      <c r="BN26" s="57"/>
      <c r="BO26" s="57"/>
      <c r="BP26" s="57"/>
      <c r="BQ26" s="57"/>
      <c r="BR26" s="57"/>
      <c r="BS26" s="57"/>
      <c r="BT26" s="57"/>
      <c r="BU26" s="57"/>
      <c r="BV26" s="572">
        <f t="shared" si="9"/>
        <v>0</v>
      </c>
      <c r="BW26" s="579"/>
      <c r="BY26" s="43"/>
      <c r="BZ26" s="57"/>
      <c r="CA26" s="57"/>
      <c r="CB26" s="57"/>
      <c r="CC26" s="57"/>
      <c r="CD26" s="57"/>
      <c r="CE26" s="57"/>
      <c r="CF26" s="57"/>
      <c r="CG26" s="57"/>
      <c r="CH26" s="57"/>
      <c r="CI26" s="57"/>
      <c r="CJ26" s="57"/>
      <c r="CK26" s="572">
        <f t="shared" si="10"/>
        <v>0</v>
      </c>
      <c r="CL26" s="579"/>
    </row>
    <row r="27" spans="1:90">
      <c r="A27" s="463" t="s">
        <v>518</v>
      </c>
      <c r="B27" s="435">
        <f t="shared" si="11"/>
        <v>0</v>
      </c>
      <c r="C27" s="435">
        <f t="shared" si="11"/>
        <v>0</v>
      </c>
      <c r="D27" s="435">
        <f t="shared" si="11"/>
        <v>0</v>
      </c>
      <c r="E27" s="516"/>
      <c r="F27">
        <v>0</v>
      </c>
      <c r="G27">
        <f>G26</f>
        <v>0</v>
      </c>
      <c r="H27" s="219"/>
      <c r="I27" s="560" t="s">
        <v>588</v>
      </c>
      <c r="J27" s="57"/>
      <c r="K27" s="510"/>
      <c r="L27" s="510">
        <f>SUM(AF27:AQ27)</f>
        <v>4</v>
      </c>
      <c r="M27" s="1222">
        <f>SUM(AV27:BG27)</f>
        <v>6</v>
      </c>
      <c r="N27" s="1222">
        <f>SUM(BJ27:BU27)</f>
        <v>4</v>
      </c>
      <c r="O27" s="1222">
        <f>SUM(BY27:CJ27)</f>
        <v>4</v>
      </c>
      <c r="P27" s="1223"/>
      <c r="Q27" s="510"/>
      <c r="R27" s="510"/>
      <c r="S27" s="510"/>
      <c r="T27" s="510"/>
      <c r="U27" s="510"/>
      <c r="V27" s="510"/>
      <c r="W27" s="510"/>
      <c r="X27" s="510"/>
      <c r="Y27" s="510"/>
      <c r="Z27" s="510"/>
      <c r="AA27" s="510"/>
      <c r="AB27" s="510"/>
      <c r="AC27" s="510"/>
      <c r="AD27" s="510"/>
      <c r="AE27" s="510"/>
      <c r="AF27" s="43"/>
      <c r="AG27" s="57"/>
      <c r="AH27" s="57"/>
      <c r="AI27" s="57">
        <v>2</v>
      </c>
      <c r="AJ27" s="57"/>
      <c r="AK27" s="57"/>
      <c r="AL27" s="57"/>
      <c r="AM27" s="57"/>
      <c r="AN27" s="57"/>
      <c r="AO27" s="57"/>
      <c r="AP27" s="57">
        <v>1</v>
      </c>
      <c r="AQ27" s="57">
        <v>1</v>
      </c>
      <c r="AR27" s="572">
        <f t="shared" si="7"/>
        <v>4</v>
      </c>
      <c r="AS27" s="569"/>
      <c r="AT27" s="569"/>
      <c r="AU27" s="569"/>
      <c r="AV27" s="43"/>
      <c r="AW27" s="57"/>
      <c r="AX27" s="57"/>
      <c r="AY27" s="57"/>
      <c r="AZ27" s="57"/>
      <c r="BA27" s="57"/>
      <c r="BB27" s="57">
        <v>6</v>
      </c>
      <c r="BC27" s="57"/>
      <c r="BD27" s="57"/>
      <c r="BE27" s="57"/>
      <c r="BF27" s="57"/>
      <c r="BG27" s="57"/>
      <c r="BH27" s="572">
        <f t="shared" si="8"/>
        <v>6</v>
      </c>
      <c r="BI27" s="573"/>
      <c r="BJ27" s="43"/>
      <c r="BK27" s="57"/>
      <c r="BL27" s="57"/>
      <c r="BM27" s="57"/>
      <c r="BN27" s="57"/>
      <c r="BO27" s="57"/>
      <c r="BP27" s="57">
        <v>4</v>
      </c>
      <c r="BQ27" s="57"/>
      <c r="BR27" s="57"/>
      <c r="BS27" s="57"/>
      <c r="BT27" s="57"/>
      <c r="BU27" s="57"/>
      <c r="BV27" s="572">
        <f t="shared" si="9"/>
        <v>4</v>
      </c>
      <c r="BW27" s="579"/>
      <c r="BY27" s="43"/>
      <c r="BZ27" s="57"/>
      <c r="CA27" s="57"/>
      <c r="CB27" s="57"/>
      <c r="CC27" s="57"/>
      <c r="CD27" s="57"/>
      <c r="CE27" s="57">
        <v>4</v>
      </c>
      <c r="CF27" s="57"/>
      <c r="CG27" s="57"/>
      <c r="CH27" s="57"/>
      <c r="CI27" s="57"/>
      <c r="CJ27" s="57"/>
      <c r="CK27" s="572">
        <f t="shared" si="10"/>
        <v>4</v>
      </c>
      <c r="CL27" s="579"/>
    </row>
    <row r="28" spans="1:90">
      <c r="A28" s="461" t="s">
        <v>536</v>
      </c>
      <c r="B28" s="435">
        <f t="shared" si="11"/>
        <v>0</v>
      </c>
      <c r="C28" s="435">
        <f t="shared" si="11"/>
        <v>0</v>
      </c>
      <c r="D28" s="435">
        <f t="shared" si="11"/>
        <v>0</v>
      </c>
      <c r="E28" s="516"/>
      <c r="F28">
        <v>0</v>
      </c>
      <c r="G28">
        <f>G27</f>
        <v>0</v>
      </c>
      <c r="H28" s="219"/>
      <c r="I28" s="1230" t="s">
        <v>592</v>
      </c>
      <c r="J28" s="1003"/>
      <c r="K28" s="510"/>
      <c r="L28" s="1231"/>
      <c r="M28" s="1231"/>
      <c r="N28" s="1231"/>
      <c r="O28" s="1231"/>
      <c r="P28" s="1003"/>
      <c r="Q28" s="510"/>
      <c r="R28" s="510"/>
      <c r="S28" s="510"/>
      <c r="T28" s="510"/>
      <c r="U28" s="510"/>
      <c r="V28" s="510"/>
      <c r="W28" s="510"/>
      <c r="X28" s="510"/>
      <c r="Y28" s="510"/>
      <c r="Z28" s="510"/>
      <c r="AA28" s="510"/>
      <c r="AB28" s="510"/>
      <c r="AC28" s="510"/>
      <c r="AD28" s="510"/>
      <c r="AE28" s="510"/>
      <c r="AF28" s="57"/>
      <c r="AG28" s="57"/>
      <c r="AH28" s="57"/>
      <c r="AI28" s="57"/>
      <c r="AJ28" s="57"/>
      <c r="AK28" s="57"/>
      <c r="AL28" s="57"/>
      <c r="AM28" s="57"/>
      <c r="AN28" s="57"/>
      <c r="AO28" s="57"/>
      <c r="AP28" s="57"/>
      <c r="AQ28" s="57"/>
      <c r="AR28" s="572">
        <f t="shared" si="7"/>
        <v>0</v>
      </c>
      <c r="AS28" s="569"/>
      <c r="AT28" s="569"/>
      <c r="AU28" s="569"/>
      <c r="AV28" s="57"/>
      <c r="AW28" s="57"/>
      <c r="AX28" s="57"/>
      <c r="AY28" s="57"/>
      <c r="AZ28" s="57"/>
      <c r="BA28" s="57"/>
      <c r="BB28" s="57"/>
      <c r="BC28" s="57"/>
      <c r="BD28" s="57"/>
      <c r="BE28" s="57"/>
      <c r="BF28" s="57"/>
      <c r="BG28" s="57"/>
      <c r="BH28" s="572">
        <f t="shared" si="8"/>
        <v>0</v>
      </c>
      <c r="BI28" s="573"/>
      <c r="BJ28" s="57"/>
      <c r="BK28" s="57"/>
      <c r="BL28" s="57"/>
      <c r="BM28" s="57"/>
      <c r="BN28" s="57"/>
      <c r="BO28" s="57"/>
      <c r="BP28" s="57"/>
      <c r="BQ28" s="57"/>
      <c r="BR28" s="57"/>
      <c r="BS28" s="57"/>
      <c r="BT28" s="57"/>
      <c r="BU28" s="57"/>
      <c r="BV28" s="572">
        <f t="shared" si="9"/>
        <v>0</v>
      </c>
      <c r="BW28" s="579"/>
      <c r="BY28" s="57"/>
      <c r="BZ28" s="57"/>
      <c r="CA28" s="57"/>
      <c r="CB28" s="57"/>
      <c r="CC28" s="57"/>
      <c r="CD28" s="57"/>
      <c r="CE28" s="57"/>
      <c r="CF28" s="57"/>
      <c r="CG28" s="57"/>
      <c r="CH28" s="57"/>
      <c r="CI28" s="57"/>
      <c r="CJ28" s="57"/>
      <c r="CK28" s="572">
        <f t="shared" si="10"/>
        <v>0</v>
      </c>
      <c r="CL28" s="579"/>
    </row>
    <row r="29" spans="1:90">
      <c r="A29" s="527" t="s">
        <v>520</v>
      </c>
      <c r="B29" s="435">
        <f t="shared" si="11"/>
        <v>0</v>
      </c>
      <c r="C29" s="435">
        <f t="shared" si="11"/>
        <v>0</v>
      </c>
      <c r="D29" s="435">
        <f t="shared" si="11"/>
        <v>0</v>
      </c>
      <c r="E29" s="516"/>
      <c r="F29">
        <v>0</v>
      </c>
      <c r="G29">
        <f>G28</f>
        <v>0</v>
      </c>
      <c r="H29" s="219"/>
      <c r="I29" s="561" t="s">
        <v>590</v>
      </c>
      <c r="J29" s="15"/>
      <c r="K29" s="562"/>
      <c r="L29" s="510">
        <f>SUM(AF29:AQ29)</f>
        <v>0</v>
      </c>
      <c r="M29" s="1222">
        <f>SUM(AV29:BG29)</f>
        <v>3</v>
      </c>
      <c r="N29" s="1222">
        <f>SUM(BJ29:BU29)</f>
        <v>0</v>
      </c>
      <c r="O29" s="1222">
        <f>SUM(BY29:CJ29)</f>
        <v>3</v>
      </c>
      <c r="P29" s="1223"/>
      <c r="Q29" s="562"/>
      <c r="R29" s="562"/>
      <c r="S29" s="562"/>
      <c r="T29" s="562"/>
      <c r="U29" s="562"/>
      <c r="V29" s="562"/>
      <c r="W29" s="562"/>
      <c r="X29" s="562"/>
      <c r="Y29" s="562"/>
      <c r="Z29" s="562"/>
      <c r="AA29" s="562"/>
      <c r="AB29" s="562"/>
      <c r="AC29" s="562"/>
      <c r="AD29" s="562"/>
      <c r="AE29" s="562"/>
      <c r="AF29" s="15"/>
      <c r="AG29" s="15"/>
      <c r="AH29" s="15"/>
      <c r="AI29" s="15"/>
      <c r="AJ29" s="15"/>
      <c r="AK29" s="15"/>
      <c r="AL29" s="15"/>
      <c r="AM29" s="15"/>
      <c r="AN29" s="15"/>
      <c r="AO29" s="15"/>
      <c r="AP29" s="15"/>
      <c r="AQ29" s="15"/>
      <c r="AR29" s="572">
        <f t="shared" si="7"/>
        <v>0</v>
      </c>
      <c r="AS29" s="571"/>
      <c r="AT29" s="571"/>
      <c r="AU29" s="571"/>
      <c r="AV29" s="15">
        <v>1</v>
      </c>
      <c r="AW29" s="15"/>
      <c r="AX29" s="15"/>
      <c r="AY29" s="15">
        <v>1</v>
      </c>
      <c r="AZ29" s="15"/>
      <c r="BA29" s="15"/>
      <c r="BB29" s="15"/>
      <c r="BC29" s="15"/>
      <c r="BD29" s="15"/>
      <c r="BE29" s="15"/>
      <c r="BF29" s="15"/>
      <c r="BG29" s="15">
        <v>1</v>
      </c>
      <c r="BH29" s="572">
        <f t="shared" si="8"/>
        <v>3</v>
      </c>
      <c r="BI29" s="573"/>
      <c r="BJ29" s="15"/>
      <c r="BK29" s="15"/>
      <c r="BL29" s="15"/>
      <c r="BM29" s="15"/>
      <c r="BN29" s="15"/>
      <c r="BO29" s="15"/>
      <c r="BP29" s="15"/>
      <c r="BQ29" s="15"/>
      <c r="BR29" s="15"/>
      <c r="BS29" s="15"/>
      <c r="BT29" s="15"/>
      <c r="BU29" s="15"/>
      <c r="BV29" s="572">
        <f t="shared" si="9"/>
        <v>0</v>
      </c>
      <c r="BW29" s="579"/>
      <c r="BY29" s="15"/>
      <c r="BZ29" s="15"/>
      <c r="CA29" s="15"/>
      <c r="CB29" s="15">
        <v>1</v>
      </c>
      <c r="CC29" s="15"/>
      <c r="CD29" s="15"/>
      <c r="CE29" s="15"/>
      <c r="CF29" s="15"/>
      <c r="CG29" s="15"/>
      <c r="CH29" s="15"/>
      <c r="CI29" s="15"/>
      <c r="CJ29" s="15">
        <v>2</v>
      </c>
      <c r="CK29" s="572">
        <f t="shared" si="10"/>
        <v>3</v>
      </c>
      <c r="CL29" s="579"/>
    </row>
    <row r="30" spans="1:90">
      <c r="A30" s="528"/>
      <c r="B30" s="447">
        <f>SUM(B12:B29)</f>
        <v>64.456796614430758</v>
      </c>
      <c r="C30" s="469"/>
      <c r="D30" s="447">
        <f>SUM(D12:D29)</f>
        <v>89.645521815576473</v>
      </c>
      <c r="E30" s="943"/>
      <c r="H30" s="219"/>
      <c r="I30" s="553" t="s">
        <v>593</v>
      </c>
      <c r="AR30" s="572"/>
      <c r="AS30" s="210"/>
      <c r="AT30" s="210"/>
      <c r="AU30" s="210"/>
      <c r="BH30" s="572"/>
      <c r="BI30" s="574"/>
      <c r="BV30" s="572"/>
      <c r="BW30" s="210"/>
      <c r="CK30" s="572"/>
      <c r="CL30" s="210"/>
    </row>
    <row r="31" spans="1:90">
      <c r="A31" s="42"/>
      <c r="E31" s="42"/>
      <c r="H31" s="219"/>
      <c r="I31" s="1232" t="s">
        <v>588</v>
      </c>
      <c r="J31" s="1084"/>
      <c r="K31" s="455"/>
      <c r="L31" s="1233"/>
      <c r="M31" s="1233"/>
      <c r="N31" s="1233"/>
      <c r="O31" s="1233"/>
      <c r="P31" s="1233"/>
      <c r="Q31" s="455"/>
      <c r="R31" s="455"/>
      <c r="S31" s="455"/>
      <c r="T31" s="455"/>
      <c r="U31" s="455"/>
      <c r="V31" s="455"/>
      <c r="W31" s="455"/>
      <c r="X31" s="455"/>
      <c r="Y31" s="455"/>
      <c r="Z31" s="455"/>
      <c r="AA31" s="455"/>
      <c r="AB31" s="455"/>
      <c r="AC31" s="455"/>
      <c r="AD31" s="455"/>
      <c r="AE31" s="455"/>
      <c r="AR31" s="572">
        <f>SUM(AF31:AQ31)</f>
        <v>0</v>
      </c>
      <c r="AS31" s="210"/>
      <c r="AT31" s="210"/>
      <c r="AU31" s="210"/>
      <c r="BH31" s="572">
        <f>SUM(AV31:BG31)</f>
        <v>0</v>
      </c>
      <c r="BI31" s="573"/>
      <c r="BV31" s="572">
        <f>SUM(BJ31:BU31)</f>
        <v>0</v>
      </c>
      <c r="BW31" s="579"/>
      <c r="CK31" s="572">
        <f>SUM(BY31:CJ31)</f>
        <v>0</v>
      </c>
      <c r="CL31" s="579"/>
    </row>
    <row r="32" spans="1:90">
      <c r="A32" s="42"/>
      <c r="C32" s="42"/>
      <c r="D32" s="42"/>
      <c r="E32" s="42"/>
      <c r="H32" s="219"/>
      <c r="I32" s="1232" t="s">
        <v>594</v>
      </c>
      <c r="J32" s="1084"/>
      <c r="K32" s="455"/>
      <c r="L32" s="1233"/>
      <c r="M32" s="1233"/>
      <c r="N32" s="1233"/>
      <c r="O32" s="1233"/>
      <c r="P32" s="1084"/>
      <c r="Q32" s="455"/>
      <c r="R32" s="455"/>
      <c r="S32" s="455"/>
      <c r="T32" s="455"/>
      <c r="U32" s="455"/>
      <c r="V32" s="455"/>
      <c r="W32" s="455"/>
      <c r="X32" s="455"/>
      <c r="Y32" s="455"/>
      <c r="Z32" s="455"/>
      <c r="AA32" s="455"/>
      <c r="AB32" s="455"/>
      <c r="AC32" s="455"/>
      <c r="AD32" s="455"/>
      <c r="AE32" s="455"/>
      <c r="AF32" s="455"/>
      <c r="AR32" s="572">
        <f>SUM(AF32:AQ32)</f>
        <v>0</v>
      </c>
      <c r="AS32" s="210"/>
      <c r="AT32" s="210"/>
      <c r="AU32" s="210"/>
      <c r="AV32" s="455"/>
      <c r="BH32" s="572">
        <f>SUM(AV32:BG32)</f>
        <v>0</v>
      </c>
      <c r="BI32" s="573"/>
      <c r="BJ32" s="455"/>
      <c r="BV32" s="572">
        <f>SUM(BJ32:BU32)</f>
        <v>0</v>
      </c>
      <c r="BW32" s="579"/>
      <c r="BY32" s="455"/>
      <c r="CK32" s="572">
        <f>SUM(BY32:CJ32)</f>
        <v>0</v>
      </c>
      <c r="CL32" s="579"/>
    </row>
    <row r="33" spans="1:90">
      <c r="C33" s="42"/>
      <c r="D33" s="42"/>
      <c r="E33" s="42"/>
      <c r="H33" s="219"/>
      <c r="I33" s="553" t="s">
        <v>595</v>
      </c>
      <c r="L33" s="510">
        <f>SUM(AF33:AQ33)</f>
        <v>0</v>
      </c>
      <c r="M33" s="1222">
        <f>SUM(AV33:BG33)</f>
        <v>0</v>
      </c>
      <c r="N33" s="1222">
        <f>SUM(BJ33:BU33)</f>
        <v>0</v>
      </c>
      <c r="O33" s="1222">
        <f>SUM(BY33:CJ33)</f>
        <v>0</v>
      </c>
      <c r="P33" s="1223"/>
      <c r="AR33" s="572"/>
      <c r="AS33" s="210"/>
      <c r="AT33" s="210"/>
      <c r="AU33" s="210"/>
      <c r="BH33" s="572"/>
      <c r="BI33" s="574"/>
      <c r="BV33" s="572"/>
      <c r="BW33" s="210"/>
      <c r="CK33" s="572"/>
      <c r="CL33" s="210"/>
    </row>
    <row r="34" spans="1:90">
      <c r="C34" s="42"/>
      <c r="D34" s="42"/>
      <c r="E34" s="42"/>
      <c r="H34" s="219"/>
      <c r="I34" s="344" t="s">
        <v>596</v>
      </c>
      <c r="K34" s="455"/>
      <c r="L34" s="510">
        <f>SUM(AF34:AQ34)</f>
        <v>0</v>
      </c>
      <c r="M34" s="1222">
        <f>SUM(AV34:BG34)</f>
        <v>0</v>
      </c>
      <c r="N34" s="1222">
        <f>SUM(BJ34:BU34)</f>
        <v>0</v>
      </c>
      <c r="O34" s="1222">
        <f>SUM(BY34:CJ34)</f>
        <v>0</v>
      </c>
      <c r="P34" s="1223"/>
      <c r="Q34" s="455"/>
      <c r="R34" s="455"/>
      <c r="S34" s="455"/>
      <c r="T34" s="455"/>
      <c r="U34" s="455"/>
      <c r="V34" s="455"/>
      <c r="W34" s="455"/>
      <c r="X34" s="455"/>
      <c r="Y34" s="455"/>
      <c r="Z34" s="455"/>
      <c r="AA34" s="455"/>
      <c r="AB34" s="455"/>
      <c r="AC34" s="455"/>
      <c r="AD34" s="455"/>
      <c r="AE34" s="455"/>
      <c r="AR34" s="572">
        <f>SUM(AF34:AQ34)</f>
        <v>0</v>
      </c>
      <c r="AS34" s="210"/>
      <c r="AT34" s="210"/>
      <c r="AU34" s="210"/>
      <c r="BH34" s="572">
        <f>SUM(AV34:BG34)</f>
        <v>0</v>
      </c>
      <c r="BI34" s="573"/>
      <c r="BV34" s="572">
        <f>SUM(BJ34:BU34)</f>
        <v>0</v>
      </c>
      <c r="BW34" s="579"/>
      <c r="CK34" s="572">
        <f>SUM(BY34:CJ34)</f>
        <v>0</v>
      </c>
      <c r="CL34" s="579"/>
    </row>
    <row r="35" spans="1:90">
      <c r="A35" s="947" t="s">
        <v>565</v>
      </c>
      <c r="B35" s="948" t="s">
        <v>567</v>
      </c>
      <c r="C35" s="948"/>
      <c r="D35" s="948"/>
      <c r="E35" s="532"/>
      <c r="H35" s="219"/>
      <c r="I35" s="553" t="s">
        <v>597</v>
      </c>
      <c r="L35" s="510">
        <f>SUM(AF35:AQ35)</f>
        <v>0</v>
      </c>
      <c r="AR35" s="572"/>
      <c r="AS35" s="210"/>
      <c r="AT35" s="210"/>
      <c r="AU35" s="210"/>
      <c r="BH35" s="572"/>
      <c r="BI35" s="574"/>
      <c r="BV35" s="572"/>
      <c r="BW35" s="210"/>
      <c r="CK35" s="572"/>
      <c r="CL35" s="210"/>
    </row>
    <row r="36" spans="1:90" ht="38.25">
      <c r="A36" s="944"/>
      <c r="B36" s="460" t="s">
        <v>1671</v>
      </c>
      <c r="C36" s="460" t="s">
        <v>1670</v>
      </c>
      <c r="D36" s="460" t="s">
        <v>1587</v>
      </c>
      <c r="E36" s="535"/>
      <c r="H36" s="219"/>
      <c r="I36" s="1232" t="s">
        <v>585</v>
      </c>
      <c r="J36" s="1084"/>
      <c r="K36" s="455"/>
      <c r="L36" s="1233"/>
      <c r="M36" s="1233"/>
      <c r="N36" s="1233"/>
      <c r="O36" s="1233"/>
      <c r="P36" s="1084"/>
      <c r="Q36" s="455"/>
      <c r="R36" s="455"/>
      <c r="S36" s="455"/>
      <c r="T36" s="455"/>
      <c r="U36" s="455"/>
      <c r="V36" s="455"/>
      <c r="W36" s="455"/>
      <c r="X36" s="455"/>
      <c r="Y36" s="455"/>
      <c r="Z36" s="455"/>
      <c r="AA36" s="455"/>
      <c r="AB36" s="455"/>
      <c r="AC36" s="455"/>
      <c r="AD36" s="455"/>
      <c r="AE36" s="455"/>
      <c r="AR36" s="572">
        <f>SUM(AF36:AQ36)</f>
        <v>0</v>
      </c>
      <c r="AS36" s="210"/>
      <c r="AT36" s="210"/>
      <c r="AU36" s="210"/>
      <c r="BH36" s="572">
        <f>SUM(AV36:BG36)</f>
        <v>0</v>
      </c>
      <c r="BI36" s="573"/>
      <c r="BV36" s="572">
        <f>SUM(BJ36:BU36)</f>
        <v>0</v>
      </c>
      <c r="BW36" s="579"/>
      <c r="CK36" s="572">
        <f>SUM(BY36:CJ36)</f>
        <v>0</v>
      </c>
      <c r="CL36" s="579"/>
    </row>
    <row r="37" spans="1:90">
      <c r="A37" s="461" t="s">
        <v>513</v>
      </c>
      <c r="B37" s="435">
        <f t="shared" ref="B37:B48" si="12">$F37*$G37*SUM(L77:N77)</f>
        <v>50.896366372138026</v>
      </c>
      <c r="C37" s="435">
        <f t="shared" ref="C37:C48" si="13">$F37*$G37*SUM(M77:O77)</f>
        <v>56.884174180624854</v>
      </c>
      <c r="D37" s="435">
        <f t="shared" ref="D37:D48" si="14">$F37*$G37*SUM(N77:P77)</f>
        <v>47.902462467894615</v>
      </c>
      <c r="E37" s="516"/>
      <c r="F37" s="202">
        <f>'Graduate Completions'!O42</f>
        <v>2.9940236651900212</v>
      </c>
      <c r="G37" s="966">
        <f>G12</f>
        <v>0.99995999999999996</v>
      </c>
      <c r="H37" s="219"/>
      <c r="AR37" s="572"/>
      <c r="AS37" s="210"/>
      <c r="AT37" s="210"/>
      <c r="AU37" s="210"/>
      <c r="BH37" s="572"/>
      <c r="BI37" s="574"/>
      <c r="BV37" s="572"/>
      <c r="BW37" s="210"/>
      <c r="CK37" s="572"/>
      <c r="CL37" s="210"/>
    </row>
    <row r="38" spans="1:90">
      <c r="A38" s="461" t="s">
        <v>6</v>
      </c>
      <c r="B38" s="435">
        <f t="shared" si="12"/>
        <v>0</v>
      </c>
      <c r="C38" s="435">
        <f t="shared" si="13"/>
        <v>0</v>
      </c>
      <c r="D38" s="435">
        <f t="shared" si="14"/>
        <v>0</v>
      </c>
      <c r="E38" s="516"/>
      <c r="F38" s="202">
        <f>'Graduate Completions'!O43</f>
        <v>1.6370418041804178</v>
      </c>
      <c r="G38" s="966">
        <f t="shared" ref="G38:G54" si="15">G13</f>
        <v>0.99995999999999996</v>
      </c>
      <c r="H38" s="219"/>
      <c r="L38" s="455"/>
      <c r="M38" s="455"/>
      <c r="N38" s="455"/>
      <c r="O38" s="455"/>
      <c r="AR38" s="572"/>
      <c r="AS38" s="210"/>
      <c r="AT38" s="210"/>
      <c r="AU38" s="210"/>
      <c r="BH38" s="572"/>
      <c r="BI38" s="574"/>
      <c r="BV38" s="572"/>
      <c r="BW38" s="210"/>
      <c r="CK38" s="572"/>
      <c r="CL38" s="210"/>
    </row>
    <row r="39" spans="1:90">
      <c r="A39" s="461" t="s">
        <v>8</v>
      </c>
      <c r="B39" s="435">
        <f t="shared" si="12"/>
        <v>7.299707999999999</v>
      </c>
      <c r="C39" s="435">
        <f t="shared" si="13"/>
        <v>8.7596495999999995</v>
      </c>
      <c r="D39" s="435">
        <f t="shared" si="14"/>
        <v>11.679532799999999</v>
      </c>
      <c r="E39" s="435"/>
      <c r="F39" s="202">
        <f>'Graduate Completions'!O44</f>
        <v>1.46</v>
      </c>
      <c r="G39" s="966">
        <f t="shared" si="15"/>
        <v>0.99995999999999996</v>
      </c>
      <c r="H39" s="219"/>
      <c r="AR39" s="572"/>
      <c r="AS39" s="210"/>
      <c r="AT39" s="210"/>
      <c r="AU39" s="210"/>
      <c r="BH39" s="572"/>
      <c r="BI39" s="574"/>
      <c r="BV39" s="572"/>
      <c r="BW39" s="210"/>
      <c r="CK39" s="572"/>
      <c r="CL39" s="210"/>
    </row>
    <row r="40" spans="1:90">
      <c r="A40" s="463" t="s">
        <v>2</v>
      </c>
      <c r="B40" s="435">
        <f t="shared" si="12"/>
        <v>19.354225800000002</v>
      </c>
      <c r="C40" s="435">
        <f t="shared" si="13"/>
        <v>16.589336400000001</v>
      </c>
      <c r="D40" s="435">
        <f t="shared" si="14"/>
        <v>19.354225800000002</v>
      </c>
      <c r="E40" s="435"/>
      <c r="F40" s="202">
        <f>'Graduate Completions'!O45</f>
        <v>2.7650000000000006</v>
      </c>
      <c r="G40" s="966">
        <f t="shared" si="15"/>
        <v>0.99995999999999996</v>
      </c>
      <c r="H40" s="219"/>
      <c r="I40" s="14" t="s">
        <v>598</v>
      </c>
      <c r="J40" s="14"/>
      <c r="K40" s="558">
        <f>SUM(K12:K21)+K31+K32+K36</f>
        <v>0</v>
      </c>
      <c r="L40" s="558">
        <f>SUM(L12:L21)+L31+L32+L36</f>
        <v>45</v>
      </c>
      <c r="M40" s="558">
        <f>SUM(M12:M21)+M31+M32+M36</f>
        <v>44</v>
      </c>
      <c r="N40" s="558">
        <f>SUM(N12:N21)+N31+N32+N36</f>
        <v>42</v>
      </c>
      <c r="O40" s="558">
        <f>SUM(O12:O21)+O31+O32+O36</f>
        <v>49</v>
      </c>
      <c r="P40" s="14"/>
      <c r="Q40" s="558">
        <f>SUM(Q12:Q21)+Q31+Q32+Q36</f>
        <v>0</v>
      </c>
      <c r="R40" s="558"/>
      <c r="S40" s="558"/>
      <c r="T40" s="558"/>
      <c r="U40" s="558"/>
      <c r="V40" s="558"/>
      <c r="W40" s="558"/>
      <c r="X40" s="558"/>
      <c r="Y40" s="558"/>
      <c r="Z40" s="558"/>
      <c r="AA40" s="558"/>
      <c r="AB40" s="558"/>
      <c r="AC40" s="558"/>
      <c r="AD40" s="558"/>
      <c r="AE40" s="558"/>
      <c r="AF40" s="564">
        <f t="shared" ref="AF40:AQ40" si="16">SUM(AF12:AF21)+AF31+AF32+AF36</f>
        <v>4</v>
      </c>
      <c r="AG40" s="564">
        <f t="shared" si="16"/>
        <v>0</v>
      </c>
      <c r="AH40" s="564">
        <f t="shared" si="16"/>
        <v>4</v>
      </c>
      <c r="AI40" s="564">
        <f t="shared" si="16"/>
        <v>3</v>
      </c>
      <c r="AJ40" s="564">
        <f t="shared" si="16"/>
        <v>0</v>
      </c>
      <c r="AK40" s="564">
        <f t="shared" si="16"/>
        <v>0</v>
      </c>
      <c r="AL40" s="564">
        <f t="shared" si="16"/>
        <v>1</v>
      </c>
      <c r="AM40" s="564">
        <f t="shared" si="16"/>
        <v>22</v>
      </c>
      <c r="AN40" s="564">
        <f t="shared" si="16"/>
        <v>0</v>
      </c>
      <c r="AO40" s="564">
        <f t="shared" si="16"/>
        <v>3</v>
      </c>
      <c r="AP40" s="564">
        <f t="shared" si="16"/>
        <v>1</v>
      </c>
      <c r="AQ40" s="564">
        <f t="shared" si="16"/>
        <v>7</v>
      </c>
      <c r="AR40" s="576">
        <f>SUM(AR12:AR21)+AR31+AR32+AR36</f>
        <v>45</v>
      </c>
      <c r="AS40" s="568"/>
      <c r="AT40" s="568"/>
      <c r="AU40" s="568"/>
      <c r="AV40" s="564">
        <f t="shared" ref="AV40:BG40" si="17">SUM(AV12:AV21)+AV31+AV32+AV36</f>
        <v>9</v>
      </c>
      <c r="AW40" s="564">
        <f t="shared" si="17"/>
        <v>0</v>
      </c>
      <c r="AX40" s="564">
        <f t="shared" si="17"/>
        <v>0</v>
      </c>
      <c r="AY40" s="564">
        <f t="shared" si="17"/>
        <v>1</v>
      </c>
      <c r="AZ40" s="564">
        <f t="shared" si="17"/>
        <v>0</v>
      </c>
      <c r="BA40" s="564">
        <f t="shared" si="17"/>
        <v>0</v>
      </c>
      <c r="BB40" s="564">
        <f t="shared" si="17"/>
        <v>6</v>
      </c>
      <c r="BC40" s="564">
        <f t="shared" si="17"/>
        <v>15</v>
      </c>
      <c r="BD40" s="564">
        <f t="shared" si="17"/>
        <v>0</v>
      </c>
      <c r="BE40" s="564">
        <f t="shared" si="17"/>
        <v>7</v>
      </c>
      <c r="BF40" s="564">
        <f t="shared" si="17"/>
        <v>0</v>
      </c>
      <c r="BG40" s="564">
        <f t="shared" si="17"/>
        <v>6</v>
      </c>
      <c r="BH40" s="576">
        <f>SUM(BH12:BH21)+BH31+BH32+BH36</f>
        <v>44</v>
      </c>
      <c r="BI40" s="576"/>
      <c r="BJ40" s="564">
        <f t="shared" ref="BJ40:BU40" si="18">SUM(BJ12:BJ21)+BJ31+BJ32+BJ36</f>
        <v>4</v>
      </c>
      <c r="BK40" s="564">
        <f t="shared" si="18"/>
        <v>0</v>
      </c>
      <c r="BL40" s="564">
        <f t="shared" si="18"/>
        <v>1</v>
      </c>
      <c r="BM40" s="564">
        <f t="shared" si="18"/>
        <v>3</v>
      </c>
      <c r="BN40" s="564">
        <f t="shared" si="18"/>
        <v>0</v>
      </c>
      <c r="BO40" s="564">
        <f t="shared" si="18"/>
        <v>0</v>
      </c>
      <c r="BP40" s="564">
        <f t="shared" si="18"/>
        <v>5</v>
      </c>
      <c r="BQ40" s="564">
        <f t="shared" si="18"/>
        <v>18</v>
      </c>
      <c r="BR40" s="564">
        <f t="shared" si="18"/>
        <v>0</v>
      </c>
      <c r="BS40" s="564">
        <f t="shared" si="18"/>
        <v>4</v>
      </c>
      <c r="BT40" s="564">
        <f t="shared" si="18"/>
        <v>0</v>
      </c>
      <c r="BU40" s="564">
        <f t="shared" si="18"/>
        <v>7</v>
      </c>
      <c r="BV40" s="580">
        <f>SUM(BJ40:BU40)</f>
        <v>42</v>
      </c>
      <c r="BW40" s="581"/>
      <c r="BY40" s="564">
        <f t="shared" ref="BY40:CJ40" si="19">SUM(BY12:BY21)+BY31+BY32+BY36</f>
        <v>5</v>
      </c>
      <c r="BZ40" s="564">
        <f t="shared" si="19"/>
        <v>0</v>
      </c>
      <c r="CA40" s="564">
        <f t="shared" si="19"/>
        <v>2</v>
      </c>
      <c r="CB40" s="564">
        <f t="shared" si="19"/>
        <v>0</v>
      </c>
      <c r="CC40" s="564">
        <f t="shared" si="19"/>
        <v>0</v>
      </c>
      <c r="CD40" s="564">
        <f t="shared" si="19"/>
        <v>0</v>
      </c>
      <c r="CE40" s="564">
        <f t="shared" si="19"/>
        <v>13</v>
      </c>
      <c r="CF40" s="564">
        <f t="shared" si="19"/>
        <v>22</v>
      </c>
      <c r="CG40" s="564">
        <f t="shared" si="19"/>
        <v>0</v>
      </c>
      <c r="CH40" s="564">
        <f t="shared" si="19"/>
        <v>3</v>
      </c>
      <c r="CI40" s="564">
        <f t="shared" si="19"/>
        <v>0</v>
      </c>
      <c r="CJ40" s="564">
        <f t="shared" si="19"/>
        <v>4</v>
      </c>
      <c r="CK40" s="580">
        <f>SUM(BY40:CJ40)</f>
        <v>49</v>
      </c>
      <c r="CL40" s="581"/>
    </row>
    <row r="41" spans="1:90">
      <c r="A41" s="461" t="s">
        <v>10</v>
      </c>
      <c r="B41" s="435">
        <f t="shared" si="12"/>
        <v>0</v>
      </c>
      <c r="C41" s="435">
        <f t="shared" si="13"/>
        <v>0</v>
      </c>
      <c r="D41" s="435">
        <f t="shared" si="14"/>
        <v>0</v>
      </c>
      <c r="E41" s="435"/>
      <c r="F41" s="202">
        <f>'Graduate Completions'!O46</f>
        <v>2.7690000000000001</v>
      </c>
      <c r="G41" s="966">
        <f t="shared" si="15"/>
        <v>0.99995999999999996</v>
      </c>
      <c r="H41" s="219"/>
      <c r="I41" s="57" t="s">
        <v>599</v>
      </c>
      <c r="J41" s="57"/>
      <c r="K41" s="510">
        <f>K24+K25+K26+K27+K28+K29</f>
        <v>0</v>
      </c>
      <c r="L41" s="510">
        <f>L24+L25+L26+L27+L28+L29</f>
        <v>10</v>
      </c>
      <c r="M41" s="510">
        <f>M24+M25+M26+M27+M28+M29</f>
        <v>13</v>
      </c>
      <c r="N41" s="510">
        <f>N24+N25+N26+N27+N28+N29</f>
        <v>10</v>
      </c>
      <c r="O41" s="510">
        <f>O24+O25+O26+O27+O28+O29</f>
        <v>17</v>
      </c>
      <c r="P41" s="57"/>
      <c r="Q41" s="510">
        <f t="shared" ref="Q41:AR41" si="20">Q24+Q25+Q26+Q27+Q28+Q29</f>
        <v>0</v>
      </c>
      <c r="R41" s="510"/>
      <c r="S41" s="510"/>
      <c r="T41" s="510"/>
      <c r="U41" s="510"/>
      <c r="V41" s="510"/>
      <c r="W41" s="510"/>
      <c r="X41" s="510"/>
      <c r="Y41" s="510"/>
      <c r="Z41" s="510"/>
      <c r="AA41" s="510"/>
      <c r="AB41" s="510"/>
      <c r="AC41" s="510"/>
      <c r="AD41" s="510"/>
      <c r="AE41" s="510"/>
      <c r="AF41" s="509">
        <f t="shared" si="20"/>
        <v>2</v>
      </c>
      <c r="AG41" s="509">
        <f t="shared" si="20"/>
        <v>0</v>
      </c>
      <c r="AH41" s="509">
        <f t="shared" si="20"/>
        <v>0</v>
      </c>
      <c r="AI41" s="509">
        <f t="shared" si="20"/>
        <v>2</v>
      </c>
      <c r="AJ41" s="509">
        <f t="shared" si="20"/>
        <v>1</v>
      </c>
      <c r="AK41" s="509">
        <f t="shared" si="20"/>
        <v>1</v>
      </c>
      <c r="AL41" s="509">
        <f t="shared" si="20"/>
        <v>0</v>
      </c>
      <c r="AM41" s="509">
        <f t="shared" si="20"/>
        <v>0</v>
      </c>
      <c r="AN41" s="509">
        <f t="shared" si="20"/>
        <v>0</v>
      </c>
      <c r="AO41" s="509">
        <f t="shared" si="20"/>
        <v>1</v>
      </c>
      <c r="AP41" s="509">
        <f t="shared" si="20"/>
        <v>1</v>
      </c>
      <c r="AQ41" s="509">
        <f t="shared" si="20"/>
        <v>2</v>
      </c>
      <c r="AR41" s="577">
        <f t="shared" si="20"/>
        <v>10</v>
      </c>
      <c r="AS41" s="569"/>
      <c r="AT41" s="569"/>
      <c r="AU41" s="569"/>
      <c r="AV41" s="509">
        <f t="shared" ref="AV41:BH41" si="21">AV24+AV25+AV26+AV27+AV28+AV29</f>
        <v>3</v>
      </c>
      <c r="AW41" s="509">
        <f t="shared" si="21"/>
        <v>0</v>
      </c>
      <c r="AX41" s="509">
        <f t="shared" si="21"/>
        <v>0</v>
      </c>
      <c r="AY41" s="509">
        <f t="shared" si="21"/>
        <v>1</v>
      </c>
      <c r="AZ41" s="509">
        <f t="shared" si="21"/>
        <v>0</v>
      </c>
      <c r="BA41" s="509">
        <f t="shared" si="21"/>
        <v>0</v>
      </c>
      <c r="BB41" s="509">
        <f t="shared" si="21"/>
        <v>6</v>
      </c>
      <c r="BC41" s="509">
        <f t="shared" si="21"/>
        <v>0</v>
      </c>
      <c r="BD41" s="509">
        <f t="shared" si="21"/>
        <v>1</v>
      </c>
      <c r="BE41" s="509">
        <f t="shared" si="21"/>
        <v>0</v>
      </c>
      <c r="BF41" s="509">
        <f t="shared" si="21"/>
        <v>0</v>
      </c>
      <c r="BG41" s="509">
        <f t="shared" si="21"/>
        <v>2</v>
      </c>
      <c r="BH41" s="577">
        <f t="shared" si="21"/>
        <v>13</v>
      </c>
      <c r="BI41" s="577"/>
      <c r="BJ41" s="509">
        <f t="shared" ref="BJ41:BU41" si="22">BJ24+BJ25+BJ26+BJ27+BJ28+BJ29</f>
        <v>1</v>
      </c>
      <c r="BK41" s="509">
        <f t="shared" si="22"/>
        <v>0</v>
      </c>
      <c r="BL41" s="509">
        <f t="shared" si="22"/>
        <v>0</v>
      </c>
      <c r="BM41" s="509">
        <f t="shared" si="22"/>
        <v>0</v>
      </c>
      <c r="BN41" s="509">
        <f t="shared" si="22"/>
        <v>1</v>
      </c>
      <c r="BO41" s="509">
        <f t="shared" si="22"/>
        <v>0</v>
      </c>
      <c r="BP41" s="509">
        <f t="shared" si="22"/>
        <v>4</v>
      </c>
      <c r="BQ41" s="509">
        <f t="shared" si="22"/>
        <v>0</v>
      </c>
      <c r="BR41" s="509">
        <f t="shared" si="22"/>
        <v>2</v>
      </c>
      <c r="BS41" s="509">
        <f t="shared" si="22"/>
        <v>1</v>
      </c>
      <c r="BT41" s="509">
        <f t="shared" si="22"/>
        <v>1</v>
      </c>
      <c r="BU41" s="509">
        <f t="shared" si="22"/>
        <v>0</v>
      </c>
      <c r="BV41" s="575">
        <f>SUM(BJ41:BU41)</f>
        <v>10</v>
      </c>
      <c r="BW41" s="582"/>
      <c r="BY41" s="509">
        <f t="shared" ref="BY41:CJ41" si="23">BY24+BY25+BY26+BY27+BY28+BY29</f>
        <v>0</v>
      </c>
      <c r="BZ41" s="509">
        <f t="shared" si="23"/>
        <v>0</v>
      </c>
      <c r="CA41" s="509">
        <f t="shared" si="23"/>
        <v>0</v>
      </c>
      <c r="CB41" s="509">
        <f t="shared" si="23"/>
        <v>1</v>
      </c>
      <c r="CC41" s="509">
        <f t="shared" si="23"/>
        <v>1</v>
      </c>
      <c r="CD41" s="509">
        <f t="shared" si="23"/>
        <v>4</v>
      </c>
      <c r="CE41" s="509">
        <f t="shared" si="23"/>
        <v>4</v>
      </c>
      <c r="CF41" s="509">
        <f t="shared" si="23"/>
        <v>0</v>
      </c>
      <c r="CG41" s="509">
        <f t="shared" si="23"/>
        <v>0</v>
      </c>
      <c r="CH41" s="509">
        <f t="shared" si="23"/>
        <v>4</v>
      </c>
      <c r="CI41" s="509">
        <f t="shared" si="23"/>
        <v>0</v>
      </c>
      <c r="CJ41" s="509">
        <f t="shared" si="23"/>
        <v>3</v>
      </c>
      <c r="CK41" s="575">
        <f>SUM(BY41:CJ41)</f>
        <v>17</v>
      </c>
      <c r="CL41" s="582"/>
    </row>
    <row r="42" spans="1:90">
      <c r="A42" s="461" t="s">
        <v>4</v>
      </c>
      <c r="B42" s="435">
        <f t="shared" si="12"/>
        <v>0</v>
      </c>
      <c r="C42" s="435">
        <f t="shared" si="13"/>
        <v>0</v>
      </c>
      <c r="D42" s="435">
        <f t="shared" si="14"/>
        <v>0</v>
      </c>
      <c r="E42" s="435"/>
      <c r="F42" s="202">
        <f>'Graduate Completions'!O47</f>
        <v>2.6349949799196795</v>
      </c>
      <c r="G42" s="966">
        <f t="shared" si="15"/>
        <v>0.99995999999999996</v>
      </c>
      <c r="H42" s="219"/>
      <c r="I42" s="15" t="s">
        <v>606</v>
      </c>
      <c r="J42" s="15"/>
      <c r="K42" s="562">
        <f>K34</f>
        <v>0</v>
      </c>
      <c r="L42" s="562">
        <f>L34</f>
        <v>0</v>
      </c>
      <c r="M42" s="562">
        <f>M34</f>
        <v>0</v>
      </c>
      <c r="N42" s="562">
        <f>N34</f>
        <v>0</v>
      </c>
      <c r="O42" s="562">
        <f>O34</f>
        <v>0</v>
      </c>
      <c r="P42" s="15"/>
      <c r="Q42" s="562">
        <f t="shared" ref="Q42:AR42" si="24">Q34</f>
        <v>0</v>
      </c>
      <c r="R42" s="562"/>
      <c r="S42" s="562"/>
      <c r="T42" s="562"/>
      <c r="U42" s="562"/>
      <c r="V42" s="562"/>
      <c r="W42" s="562"/>
      <c r="X42" s="562"/>
      <c r="Y42" s="562"/>
      <c r="Z42" s="562"/>
      <c r="AA42" s="562"/>
      <c r="AB42" s="562"/>
      <c r="AC42" s="562"/>
      <c r="AD42" s="562"/>
      <c r="AE42" s="562"/>
      <c r="AF42" s="565">
        <f t="shared" si="24"/>
        <v>0</v>
      </c>
      <c r="AG42" s="565">
        <f t="shared" si="24"/>
        <v>0</v>
      </c>
      <c r="AH42" s="565">
        <f t="shared" si="24"/>
        <v>0</v>
      </c>
      <c r="AI42" s="565">
        <f t="shared" si="24"/>
        <v>0</v>
      </c>
      <c r="AJ42" s="565">
        <f t="shared" si="24"/>
        <v>0</v>
      </c>
      <c r="AK42" s="565">
        <f t="shared" si="24"/>
        <v>0</v>
      </c>
      <c r="AL42" s="565">
        <f t="shared" si="24"/>
        <v>0</v>
      </c>
      <c r="AM42" s="565">
        <f t="shared" si="24"/>
        <v>0</v>
      </c>
      <c r="AN42" s="565">
        <f t="shared" si="24"/>
        <v>0</v>
      </c>
      <c r="AO42" s="565">
        <f t="shared" si="24"/>
        <v>0</v>
      </c>
      <c r="AP42" s="565">
        <f t="shared" si="24"/>
        <v>0</v>
      </c>
      <c r="AQ42" s="565">
        <f t="shared" si="24"/>
        <v>0</v>
      </c>
      <c r="AR42" s="578">
        <f t="shared" si="24"/>
        <v>0</v>
      </c>
      <c r="AS42" s="571"/>
      <c r="AT42" s="571"/>
      <c r="AU42" s="571"/>
      <c r="AV42" s="565">
        <f t="shared" ref="AV42:BH42" si="25">AV34</f>
        <v>0</v>
      </c>
      <c r="AW42" s="565">
        <f t="shared" si="25"/>
        <v>0</v>
      </c>
      <c r="AX42" s="565">
        <f t="shared" si="25"/>
        <v>0</v>
      </c>
      <c r="AY42" s="565">
        <f t="shared" si="25"/>
        <v>0</v>
      </c>
      <c r="AZ42" s="565">
        <f t="shared" si="25"/>
        <v>0</v>
      </c>
      <c r="BA42" s="565">
        <f t="shared" si="25"/>
        <v>0</v>
      </c>
      <c r="BB42" s="565">
        <f t="shared" si="25"/>
        <v>0</v>
      </c>
      <c r="BC42" s="565">
        <f t="shared" si="25"/>
        <v>0</v>
      </c>
      <c r="BD42" s="565">
        <f t="shared" si="25"/>
        <v>0</v>
      </c>
      <c r="BE42" s="565">
        <f t="shared" si="25"/>
        <v>0</v>
      </c>
      <c r="BF42" s="565">
        <f t="shared" si="25"/>
        <v>0</v>
      </c>
      <c r="BG42" s="565">
        <f t="shared" si="25"/>
        <v>0</v>
      </c>
      <c r="BH42" s="578">
        <f t="shared" si="25"/>
        <v>0</v>
      </c>
      <c r="BI42" s="578"/>
      <c r="BJ42" s="565">
        <f t="shared" ref="BJ42:BU42" si="26">BJ34</f>
        <v>0</v>
      </c>
      <c r="BK42" s="565">
        <f t="shared" si="26"/>
        <v>0</v>
      </c>
      <c r="BL42" s="565">
        <f t="shared" si="26"/>
        <v>0</v>
      </c>
      <c r="BM42" s="565">
        <f t="shared" si="26"/>
        <v>0</v>
      </c>
      <c r="BN42" s="565">
        <f t="shared" si="26"/>
        <v>0</v>
      </c>
      <c r="BO42" s="565">
        <f t="shared" si="26"/>
        <v>0</v>
      </c>
      <c r="BP42" s="565">
        <f t="shared" si="26"/>
        <v>0</v>
      </c>
      <c r="BQ42" s="565">
        <f t="shared" si="26"/>
        <v>0</v>
      </c>
      <c r="BR42" s="565">
        <f t="shared" si="26"/>
        <v>0</v>
      </c>
      <c r="BS42" s="565">
        <f t="shared" si="26"/>
        <v>0</v>
      </c>
      <c r="BT42" s="565">
        <f t="shared" si="26"/>
        <v>0</v>
      </c>
      <c r="BU42" s="565">
        <f t="shared" si="26"/>
        <v>0</v>
      </c>
      <c r="BV42" s="583">
        <f>SUM(BJ42:BU42)</f>
        <v>0</v>
      </c>
      <c r="BW42" s="584"/>
      <c r="BY42" s="565">
        <f t="shared" ref="BY42:CJ42" si="27">BY34</f>
        <v>0</v>
      </c>
      <c r="BZ42" s="565">
        <f t="shared" si="27"/>
        <v>0</v>
      </c>
      <c r="CA42" s="565">
        <f t="shared" si="27"/>
        <v>0</v>
      </c>
      <c r="CB42" s="565">
        <f t="shared" si="27"/>
        <v>0</v>
      </c>
      <c r="CC42" s="565">
        <f t="shared" si="27"/>
        <v>0</v>
      </c>
      <c r="CD42" s="565">
        <f t="shared" si="27"/>
        <v>0</v>
      </c>
      <c r="CE42" s="565">
        <f t="shared" si="27"/>
        <v>0</v>
      </c>
      <c r="CF42" s="565">
        <f t="shared" si="27"/>
        <v>0</v>
      </c>
      <c r="CG42" s="565">
        <f t="shared" si="27"/>
        <v>0</v>
      </c>
      <c r="CH42" s="565">
        <f t="shared" si="27"/>
        <v>0</v>
      </c>
      <c r="CI42" s="565">
        <f t="shared" si="27"/>
        <v>0</v>
      </c>
      <c r="CJ42" s="565">
        <f t="shared" si="27"/>
        <v>0</v>
      </c>
      <c r="CK42" s="583">
        <f>SUM(BY42:CJ42)</f>
        <v>0</v>
      </c>
      <c r="CL42" s="584"/>
    </row>
    <row r="43" spans="1:90">
      <c r="A43" s="461" t="s">
        <v>14</v>
      </c>
      <c r="B43" s="435">
        <f t="shared" si="12"/>
        <v>6.4600178899852265</v>
      </c>
      <c r="C43" s="435">
        <f t="shared" si="13"/>
        <v>6.9983527141506618</v>
      </c>
      <c r="D43" s="435">
        <f t="shared" si="14"/>
        <v>6.4600178899852265</v>
      </c>
      <c r="E43" s="435"/>
      <c r="F43" s="202">
        <f>'Graduate Completions'!O48</f>
        <v>2.6911358936484491</v>
      </c>
      <c r="G43" s="966">
        <f t="shared" si="15"/>
        <v>0.20003999999999994</v>
      </c>
      <c r="H43" s="219"/>
    </row>
    <row r="44" spans="1:90">
      <c r="A44" s="463" t="s">
        <v>17</v>
      </c>
      <c r="B44" s="435">
        <f t="shared" si="12"/>
        <v>114.72983167578944</v>
      </c>
      <c r="C44" s="435">
        <f t="shared" si="13"/>
        <v>116.81582861534925</v>
      </c>
      <c r="D44" s="435">
        <f t="shared" si="14"/>
        <v>125.15981637358847</v>
      </c>
      <c r="E44" s="435"/>
      <c r="F44" s="202">
        <f>'Graduate Completions'!O49</f>
        <v>2.0860803827751191</v>
      </c>
      <c r="G44" s="966">
        <f t="shared" si="15"/>
        <v>0.99995999999999996</v>
      </c>
      <c r="H44" s="219"/>
      <c r="I44" s="14" t="s">
        <v>610</v>
      </c>
      <c r="J44" s="14"/>
      <c r="K44" s="558"/>
      <c r="L44" s="558"/>
      <c r="M44" s="558"/>
      <c r="N44" s="558"/>
      <c r="O44" s="14"/>
      <c r="P44" s="558"/>
      <c r="Q44" s="558"/>
      <c r="R44" s="568"/>
      <c r="S44" s="568"/>
      <c r="T44" s="568"/>
      <c r="U44" s="568"/>
      <c r="V44" s="568"/>
      <c r="W44" s="568"/>
      <c r="X44" s="568"/>
      <c r="Y44" s="568"/>
      <c r="Z44" s="568"/>
      <c r="AA44" s="568"/>
      <c r="AB44" s="568"/>
      <c r="AC44" s="568"/>
      <c r="AD44" s="568"/>
      <c r="AE44" s="568"/>
      <c r="AF44" s="568"/>
      <c r="AG44" s="568"/>
      <c r="AH44" s="568"/>
      <c r="AI44" s="568"/>
      <c r="AJ44" s="568"/>
      <c r="AK44" s="568"/>
      <c r="AL44" s="568"/>
      <c r="AM44" s="568"/>
      <c r="AN44" s="568"/>
      <c r="AO44" s="568"/>
      <c r="AP44" s="568"/>
      <c r="AQ44" s="568"/>
      <c r="AR44" s="568"/>
      <c r="AS44" s="568"/>
      <c r="AT44" s="568"/>
      <c r="AU44" s="564"/>
      <c r="AV44" s="564"/>
      <c r="AW44" s="564"/>
      <c r="AX44" s="564"/>
      <c r="AY44" s="564"/>
      <c r="AZ44" s="564"/>
      <c r="BA44" s="564"/>
      <c r="BB44" s="564"/>
      <c r="BC44" s="564"/>
      <c r="BD44" s="564"/>
      <c r="BE44" s="564"/>
      <c r="BF44" s="564"/>
      <c r="BG44" s="576">
        <f>BH15+BH36</f>
        <v>0</v>
      </c>
      <c r="BH44" s="576"/>
      <c r="BI44" s="564"/>
      <c r="BJ44" s="564"/>
      <c r="BK44" s="564"/>
      <c r="BL44" s="564"/>
      <c r="BM44" s="564"/>
      <c r="BN44" s="564"/>
      <c r="BO44" s="564"/>
      <c r="BP44" s="564"/>
      <c r="BQ44" s="564"/>
      <c r="BR44" s="564"/>
      <c r="BS44" s="564"/>
      <c r="BT44" s="564"/>
      <c r="BU44" s="576">
        <f>BV15+BV36</f>
        <v>0</v>
      </c>
      <c r="BV44" s="581"/>
      <c r="BX44" s="564"/>
      <c r="BY44" s="564"/>
      <c r="BZ44" s="564"/>
      <c r="CA44" s="564"/>
      <c r="CB44" s="564"/>
      <c r="CC44" s="564"/>
      <c r="CD44" s="564"/>
      <c r="CE44" s="564"/>
      <c r="CF44" s="564"/>
      <c r="CG44" s="564"/>
      <c r="CH44" s="564"/>
      <c r="CI44" s="564"/>
      <c r="CJ44" s="576">
        <f>CK15+CK36</f>
        <v>0</v>
      </c>
      <c r="CK44" s="581"/>
    </row>
    <row r="45" spans="1:90">
      <c r="A45" s="461" t="s">
        <v>316</v>
      </c>
      <c r="B45" s="435">
        <f t="shared" si="12"/>
        <v>0</v>
      </c>
      <c r="C45" s="435">
        <f t="shared" si="13"/>
        <v>0</v>
      </c>
      <c r="D45" s="435">
        <f t="shared" si="14"/>
        <v>0</v>
      </c>
      <c r="E45" s="435"/>
      <c r="F45" s="202">
        <f>'Graduate Completions'!O50</f>
        <v>2.7690000000000001</v>
      </c>
      <c r="G45" s="966">
        <f t="shared" si="15"/>
        <v>0.99995999999999996</v>
      </c>
      <c r="H45" s="219"/>
      <c r="I45" s="57" t="s">
        <v>611</v>
      </c>
      <c r="J45" s="57"/>
      <c r="K45" s="510"/>
      <c r="L45" s="510"/>
      <c r="M45" s="510"/>
      <c r="N45" s="510"/>
      <c r="O45" s="57"/>
      <c r="P45" s="510"/>
      <c r="Q45" s="510"/>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09"/>
      <c r="AV45" s="509"/>
      <c r="AW45" s="509"/>
      <c r="AX45" s="509"/>
      <c r="AY45" s="509"/>
      <c r="AZ45" s="509"/>
      <c r="BA45" s="509"/>
      <c r="BB45" s="509"/>
      <c r="BC45" s="509"/>
      <c r="BD45" s="509"/>
      <c r="BE45" s="509"/>
      <c r="BF45" s="509"/>
      <c r="BG45" s="577">
        <v>13</v>
      </c>
      <c r="BH45" s="577"/>
      <c r="BI45" s="509"/>
      <c r="BJ45" s="509"/>
      <c r="BK45" s="509"/>
      <c r="BL45" s="509"/>
      <c r="BM45" s="509"/>
      <c r="BN45" s="509"/>
      <c r="BO45" s="509"/>
      <c r="BP45" s="509"/>
      <c r="BQ45" s="509"/>
      <c r="BR45" s="509"/>
      <c r="BS45" s="509"/>
      <c r="BT45" s="509"/>
      <c r="BU45" s="575">
        <v>12</v>
      </c>
      <c r="BV45" s="582"/>
      <c r="BX45" s="509"/>
      <c r="BY45" s="509"/>
      <c r="BZ45" s="509"/>
      <c r="CA45" s="509"/>
      <c r="CB45" s="509"/>
      <c r="CC45" s="509"/>
      <c r="CD45" s="509"/>
      <c r="CE45" s="509"/>
      <c r="CF45" s="509"/>
      <c r="CG45" s="509"/>
      <c r="CH45" s="509"/>
      <c r="CI45" s="509"/>
      <c r="CJ45" s="575">
        <v>12</v>
      </c>
      <c r="CK45" s="582"/>
    </row>
    <row r="46" spans="1:90">
      <c r="A46" s="461" t="s">
        <v>7</v>
      </c>
      <c r="B46" s="435">
        <f t="shared" si="12"/>
        <v>36.099465242894766</v>
      </c>
      <c r="C46" s="435">
        <f t="shared" si="13"/>
        <v>36.099465242894766</v>
      </c>
      <c r="D46" s="435">
        <f t="shared" si="14"/>
        <v>30.942398779624085</v>
      </c>
      <c r="E46" s="435"/>
      <c r="F46" s="202">
        <f>'Graduate Completions'!O51</f>
        <v>2.5786363770904241</v>
      </c>
      <c r="G46" s="966">
        <f t="shared" si="15"/>
        <v>0.99995999999999996</v>
      </c>
      <c r="H46" s="219"/>
    </row>
    <row r="47" spans="1:90">
      <c r="A47" s="461" t="s">
        <v>9</v>
      </c>
      <c r="B47" s="435">
        <f t="shared" si="12"/>
        <v>2.3896010922132795</v>
      </c>
      <c r="C47" s="435">
        <f t="shared" si="13"/>
        <v>2.3896010922132795</v>
      </c>
      <c r="D47" s="435">
        <f t="shared" si="14"/>
        <v>2.3896010922132795</v>
      </c>
      <c r="E47" s="435"/>
      <c r="F47" s="202">
        <f>'Graduate Completions'!O52</f>
        <v>2.3896966800804829</v>
      </c>
      <c r="G47" s="966">
        <f t="shared" si="15"/>
        <v>0.99995999999999996</v>
      </c>
      <c r="H47" s="219"/>
    </row>
    <row r="48" spans="1:90">
      <c r="A48" s="463" t="s">
        <v>5</v>
      </c>
      <c r="B48" s="435">
        <f t="shared" si="12"/>
        <v>58.146938098701312</v>
      </c>
      <c r="C48" s="435">
        <f t="shared" si="13"/>
        <v>55.239591193766245</v>
      </c>
      <c r="D48" s="435">
        <f t="shared" si="14"/>
        <v>58.146938098701312</v>
      </c>
      <c r="E48" s="435"/>
      <c r="F48" s="202">
        <f>'Graduate Completions'!O53</f>
        <v>2.907463203463204</v>
      </c>
      <c r="G48" s="966">
        <f t="shared" si="15"/>
        <v>0.99995999999999996</v>
      </c>
      <c r="H48" s="219"/>
    </row>
    <row r="49" spans="1:89">
      <c r="A49" s="461"/>
      <c r="B49" s="434"/>
      <c r="C49" s="434"/>
      <c r="D49" s="434"/>
      <c r="E49" s="434"/>
      <c r="H49" s="219"/>
    </row>
    <row r="50" spans="1:89" ht="19.5">
      <c r="A50" s="461" t="s">
        <v>516</v>
      </c>
      <c r="B50" s="435">
        <f t="shared" ref="B50:D54" si="28">$F50*$G50*SUM(L90:N90)</f>
        <v>0</v>
      </c>
      <c r="C50" s="435">
        <f t="shared" si="28"/>
        <v>0</v>
      </c>
      <c r="D50" s="435">
        <f t="shared" si="28"/>
        <v>0</v>
      </c>
      <c r="E50" s="435"/>
      <c r="F50">
        <v>0</v>
      </c>
      <c r="G50">
        <f t="shared" si="15"/>
        <v>0</v>
      </c>
      <c r="H50" s="219"/>
      <c r="I50" s="945" t="s">
        <v>564</v>
      </c>
      <c r="J50" s="214"/>
      <c r="K50" s="1418" t="s">
        <v>581</v>
      </c>
      <c r="L50" s="1418" t="s">
        <v>582</v>
      </c>
      <c r="M50" s="1418" t="s">
        <v>1236</v>
      </c>
      <c r="N50" s="1419" t="s">
        <v>1235</v>
      </c>
      <c r="O50" s="1419" t="s">
        <v>1234</v>
      </c>
      <c r="P50" s="1419" t="s">
        <v>1573</v>
      </c>
    </row>
    <row r="51" spans="1:89">
      <c r="A51" s="461" t="s">
        <v>537</v>
      </c>
      <c r="B51" s="435">
        <f t="shared" si="28"/>
        <v>0</v>
      </c>
      <c r="C51" s="435">
        <f t="shared" si="28"/>
        <v>0</v>
      </c>
      <c r="D51" s="435">
        <f t="shared" si="28"/>
        <v>0</v>
      </c>
      <c r="E51" s="435"/>
      <c r="F51">
        <v>0</v>
      </c>
      <c r="G51">
        <f t="shared" si="15"/>
        <v>0</v>
      </c>
      <c r="H51" s="219"/>
      <c r="I51" s="1436"/>
    </row>
    <row r="52" spans="1:89">
      <c r="A52" s="463" t="s">
        <v>518</v>
      </c>
      <c r="B52" s="435">
        <f t="shared" si="28"/>
        <v>0</v>
      </c>
      <c r="C52" s="435">
        <f t="shared" si="28"/>
        <v>0</v>
      </c>
      <c r="D52" s="435">
        <f t="shared" si="28"/>
        <v>0</v>
      </c>
      <c r="E52" s="435"/>
      <c r="F52">
        <v>0</v>
      </c>
      <c r="G52">
        <f t="shared" si="15"/>
        <v>0</v>
      </c>
      <c r="H52" s="219"/>
      <c r="I52" s="461" t="s">
        <v>513</v>
      </c>
      <c r="K52">
        <v>0</v>
      </c>
      <c r="L52">
        <v>1</v>
      </c>
      <c r="M52">
        <v>3</v>
      </c>
      <c r="N52">
        <v>2</v>
      </c>
      <c r="O52" s="1207">
        <f>ROUND(AVERAGE(K52:N52),0)</f>
        <v>2</v>
      </c>
      <c r="P52" s="1207">
        <f>ROUND(AVERAGE(L52:O52),0)</f>
        <v>2</v>
      </c>
      <c r="Q52" t="s">
        <v>1237</v>
      </c>
      <c r="AF52">
        <f t="shared" ref="AF52:AR52" si="29">SUM(AF12:AF21)</f>
        <v>4</v>
      </c>
      <c r="AG52">
        <f t="shared" si="29"/>
        <v>0</v>
      </c>
      <c r="AH52">
        <f t="shared" si="29"/>
        <v>4</v>
      </c>
      <c r="AI52">
        <f t="shared" si="29"/>
        <v>3</v>
      </c>
      <c r="AJ52">
        <f t="shared" si="29"/>
        <v>0</v>
      </c>
      <c r="AK52">
        <f t="shared" si="29"/>
        <v>0</v>
      </c>
      <c r="AL52">
        <f t="shared" si="29"/>
        <v>1</v>
      </c>
      <c r="AM52">
        <f t="shared" si="29"/>
        <v>22</v>
      </c>
      <c r="AN52">
        <f t="shared" si="29"/>
        <v>0</v>
      </c>
      <c r="AO52">
        <f t="shared" si="29"/>
        <v>3</v>
      </c>
      <c r="AP52">
        <f t="shared" si="29"/>
        <v>1</v>
      </c>
      <c r="AQ52">
        <f t="shared" si="29"/>
        <v>7</v>
      </c>
      <c r="AR52">
        <f t="shared" si="29"/>
        <v>45</v>
      </c>
      <c r="AV52">
        <f t="shared" ref="AV52:BH52" si="30">SUM(AV12:AV21)</f>
        <v>9</v>
      </c>
      <c r="AW52">
        <f t="shared" si="30"/>
        <v>0</v>
      </c>
      <c r="AX52">
        <f t="shared" si="30"/>
        <v>0</v>
      </c>
      <c r="AY52">
        <f t="shared" si="30"/>
        <v>1</v>
      </c>
      <c r="AZ52">
        <f t="shared" si="30"/>
        <v>0</v>
      </c>
      <c r="BA52">
        <f t="shared" si="30"/>
        <v>0</v>
      </c>
      <c r="BB52">
        <f t="shared" si="30"/>
        <v>6</v>
      </c>
      <c r="BC52">
        <f t="shared" si="30"/>
        <v>15</v>
      </c>
      <c r="BD52">
        <f t="shared" si="30"/>
        <v>0</v>
      </c>
      <c r="BE52">
        <f t="shared" si="30"/>
        <v>7</v>
      </c>
      <c r="BF52">
        <f t="shared" si="30"/>
        <v>0</v>
      </c>
      <c r="BG52">
        <f t="shared" si="30"/>
        <v>6</v>
      </c>
      <c r="BH52">
        <f t="shared" si="30"/>
        <v>44</v>
      </c>
      <c r="BJ52">
        <f t="shared" ref="BJ52:BV52" si="31">SUM(BJ12:BJ21)</f>
        <v>4</v>
      </c>
      <c r="BK52">
        <f t="shared" si="31"/>
        <v>0</v>
      </c>
      <c r="BL52">
        <f t="shared" si="31"/>
        <v>1</v>
      </c>
      <c r="BM52">
        <f t="shared" si="31"/>
        <v>3</v>
      </c>
      <c r="BN52">
        <f t="shared" si="31"/>
        <v>0</v>
      </c>
      <c r="BO52">
        <f t="shared" si="31"/>
        <v>0</v>
      </c>
      <c r="BP52">
        <f t="shared" si="31"/>
        <v>5</v>
      </c>
      <c r="BQ52">
        <f t="shared" si="31"/>
        <v>18</v>
      </c>
      <c r="BR52">
        <f t="shared" si="31"/>
        <v>0</v>
      </c>
      <c r="BS52">
        <f t="shared" si="31"/>
        <v>4</v>
      </c>
      <c r="BT52">
        <f t="shared" si="31"/>
        <v>0</v>
      </c>
      <c r="BU52">
        <f t="shared" si="31"/>
        <v>7</v>
      </c>
      <c r="BV52">
        <f t="shared" si="31"/>
        <v>42</v>
      </c>
      <c r="BY52">
        <f t="shared" ref="BY52:CK52" si="32">SUM(BY12:BY21)</f>
        <v>5</v>
      </c>
      <c r="BZ52">
        <f t="shared" si="32"/>
        <v>0</v>
      </c>
      <c r="CA52">
        <f t="shared" si="32"/>
        <v>2</v>
      </c>
      <c r="CB52">
        <f t="shared" si="32"/>
        <v>0</v>
      </c>
      <c r="CC52">
        <f t="shared" si="32"/>
        <v>0</v>
      </c>
      <c r="CD52">
        <f t="shared" si="32"/>
        <v>0</v>
      </c>
      <c r="CE52">
        <f t="shared" si="32"/>
        <v>13</v>
      </c>
      <c r="CF52">
        <f t="shared" si="32"/>
        <v>22</v>
      </c>
      <c r="CG52">
        <f t="shared" si="32"/>
        <v>0</v>
      </c>
      <c r="CH52">
        <f t="shared" si="32"/>
        <v>3</v>
      </c>
      <c r="CI52">
        <f t="shared" si="32"/>
        <v>0</v>
      </c>
      <c r="CJ52">
        <f t="shared" si="32"/>
        <v>4</v>
      </c>
      <c r="CK52">
        <f t="shared" si="32"/>
        <v>49</v>
      </c>
    </row>
    <row r="53" spans="1:89">
      <c r="A53" s="461" t="s">
        <v>536</v>
      </c>
      <c r="B53" s="435">
        <f t="shared" si="28"/>
        <v>0</v>
      </c>
      <c r="C53" s="435">
        <f t="shared" si="28"/>
        <v>0</v>
      </c>
      <c r="D53" s="435">
        <f t="shared" si="28"/>
        <v>0</v>
      </c>
      <c r="E53" s="435"/>
      <c r="F53">
        <v>0</v>
      </c>
      <c r="G53">
        <f t="shared" si="15"/>
        <v>0</v>
      </c>
      <c r="H53" s="219"/>
      <c r="I53" s="461" t="s">
        <v>6</v>
      </c>
      <c r="K53">
        <v>0</v>
      </c>
      <c r="L53">
        <v>0</v>
      </c>
      <c r="M53">
        <v>0</v>
      </c>
      <c r="N53">
        <v>0</v>
      </c>
      <c r="O53" s="1207">
        <f t="shared" ref="O53:P63" si="33">ROUND(AVERAGE(K53:N53),0)</f>
        <v>0</v>
      </c>
      <c r="P53" s="1207">
        <f t="shared" si="33"/>
        <v>0</v>
      </c>
      <c r="Q53" t="s">
        <v>1238</v>
      </c>
      <c r="AF53" s="455">
        <f t="shared" ref="AF53:AR53" si="34">SUM(AF24:AF29)</f>
        <v>2</v>
      </c>
      <c r="AG53" s="455">
        <f t="shared" si="34"/>
        <v>0</v>
      </c>
      <c r="AH53" s="455">
        <f t="shared" si="34"/>
        <v>0</v>
      </c>
      <c r="AI53" s="455">
        <f t="shared" si="34"/>
        <v>2</v>
      </c>
      <c r="AJ53" s="455">
        <f t="shared" si="34"/>
        <v>1</v>
      </c>
      <c r="AK53" s="455">
        <f t="shared" si="34"/>
        <v>1</v>
      </c>
      <c r="AL53" s="455">
        <f t="shared" si="34"/>
        <v>0</v>
      </c>
      <c r="AM53" s="455">
        <f t="shared" si="34"/>
        <v>0</v>
      </c>
      <c r="AN53" s="455">
        <f t="shared" si="34"/>
        <v>0</v>
      </c>
      <c r="AO53" s="455">
        <f t="shared" si="34"/>
        <v>1</v>
      </c>
      <c r="AP53" s="455">
        <f t="shared" si="34"/>
        <v>1</v>
      </c>
      <c r="AQ53" s="455">
        <f t="shared" si="34"/>
        <v>2</v>
      </c>
      <c r="AR53" s="455">
        <f t="shared" si="34"/>
        <v>10</v>
      </c>
      <c r="AV53" s="455">
        <f t="shared" ref="AV53:BH53" si="35">SUM(AV24:AV29)</f>
        <v>3</v>
      </c>
      <c r="AW53" s="455">
        <f t="shared" si="35"/>
        <v>0</v>
      </c>
      <c r="AX53" s="455">
        <f t="shared" si="35"/>
        <v>0</v>
      </c>
      <c r="AY53" s="455">
        <f t="shared" si="35"/>
        <v>1</v>
      </c>
      <c r="AZ53" s="455">
        <f t="shared" si="35"/>
        <v>0</v>
      </c>
      <c r="BA53" s="455">
        <f t="shared" si="35"/>
        <v>0</v>
      </c>
      <c r="BB53" s="455">
        <f t="shared" si="35"/>
        <v>6</v>
      </c>
      <c r="BC53" s="455">
        <f t="shared" si="35"/>
        <v>0</v>
      </c>
      <c r="BD53" s="455">
        <f t="shared" si="35"/>
        <v>1</v>
      </c>
      <c r="BE53" s="455">
        <f t="shared" si="35"/>
        <v>0</v>
      </c>
      <c r="BF53" s="455">
        <f t="shared" si="35"/>
        <v>0</v>
      </c>
      <c r="BG53" s="455">
        <f t="shared" si="35"/>
        <v>2</v>
      </c>
      <c r="BH53" s="455">
        <f t="shared" si="35"/>
        <v>13</v>
      </c>
      <c r="BJ53" s="455">
        <f t="shared" ref="BJ53:BV53" si="36">SUM(BJ24:BJ29)</f>
        <v>1</v>
      </c>
      <c r="BK53" s="455">
        <f t="shared" si="36"/>
        <v>0</v>
      </c>
      <c r="BL53" s="455">
        <f t="shared" si="36"/>
        <v>0</v>
      </c>
      <c r="BM53" s="455">
        <f t="shared" si="36"/>
        <v>0</v>
      </c>
      <c r="BN53" s="455">
        <f t="shared" si="36"/>
        <v>1</v>
      </c>
      <c r="BO53" s="455">
        <f t="shared" si="36"/>
        <v>0</v>
      </c>
      <c r="BP53" s="455">
        <f t="shared" si="36"/>
        <v>4</v>
      </c>
      <c r="BQ53" s="455">
        <f t="shared" si="36"/>
        <v>0</v>
      </c>
      <c r="BR53" s="455">
        <f t="shared" si="36"/>
        <v>2</v>
      </c>
      <c r="BS53" s="455">
        <f t="shared" si="36"/>
        <v>1</v>
      </c>
      <c r="BT53" s="455">
        <f t="shared" si="36"/>
        <v>1</v>
      </c>
      <c r="BU53" s="455">
        <f t="shared" si="36"/>
        <v>0</v>
      </c>
      <c r="BV53" s="455">
        <f t="shared" si="36"/>
        <v>10</v>
      </c>
      <c r="BY53" s="455">
        <f t="shared" ref="BY53:CK53" si="37">SUM(BY24:BY29)</f>
        <v>0</v>
      </c>
      <c r="BZ53" s="455">
        <f t="shared" si="37"/>
        <v>0</v>
      </c>
      <c r="CA53" s="455">
        <f t="shared" si="37"/>
        <v>0</v>
      </c>
      <c r="CB53" s="455">
        <f t="shared" si="37"/>
        <v>1</v>
      </c>
      <c r="CC53" s="455">
        <f t="shared" si="37"/>
        <v>1</v>
      </c>
      <c r="CD53" s="455">
        <f t="shared" si="37"/>
        <v>4</v>
      </c>
      <c r="CE53" s="455">
        <f t="shared" si="37"/>
        <v>4</v>
      </c>
      <c r="CF53" s="455">
        <f t="shared" si="37"/>
        <v>0</v>
      </c>
      <c r="CG53" s="455">
        <f t="shared" si="37"/>
        <v>0</v>
      </c>
      <c r="CH53" s="455">
        <f t="shared" si="37"/>
        <v>4</v>
      </c>
      <c r="CI53" s="455">
        <f t="shared" si="37"/>
        <v>0</v>
      </c>
      <c r="CJ53" s="455">
        <f t="shared" si="37"/>
        <v>3</v>
      </c>
      <c r="CK53" s="455">
        <f t="shared" si="37"/>
        <v>17</v>
      </c>
    </row>
    <row r="54" spans="1:89">
      <c r="A54" s="527" t="s">
        <v>520</v>
      </c>
      <c r="B54" s="435">
        <f t="shared" si="28"/>
        <v>0</v>
      </c>
      <c r="C54" s="435">
        <f t="shared" si="28"/>
        <v>0</v>
      </c>
      <c r="D54" s="435">
        <f t="shared" si="28"/>
        <v>0</v>
      </c>
      <c r="E54" s="435"/>
      <c r="F54">
        <v>0</v>
      </c>
      <c r="G54">
        <f t="shared" si="15"/>
        <v>0</v>
      </c>
      <c r="H54" s="219"/>
      <c r="I54" s="461" t="s">
        <v>8</v>
      </c>
      <c r="K54">
        <v>0</v>
      </c>
      <c r="L54">
        <v>0</v>
      </c>
      <c r="M54">
        <v>0</v>
      </c>
      <c r="N54">
        <v>0</v>
      </c>
      <c r="O54" s="1207">
        <f t="shared" si="33"/>
        <v>0</v>
      </c>
      <c r="P54" s="1207">
        <f t="shared" si="33"/>
        <v>0</v>
      </c>
      <c r="Q54" t="s">
        <v>1239</v>
      </c>
      <c r="AF54">
        <f t="shared" ref="AF54:AR54" si="38">SUM(AF30:AF38)</f>
        <v>0</v>
      </c>
      <c r="AG54">
        <f t="shared" si="38"/>
        <v>0</v>
      </c>
      <c r="AH54">
        <f t="shared" si="38"/>
        <v>0</v>
      </c>
      <c r="AI54">
        <f t="shared" si="38"/>
        <v>0</v>
      </c>
      <c r="AJ54">
        <f t="shared" si="38"/>
        <v>0</v>
      </c>
      <c r="AK54">
        <f t="shared" si="38"/>
        <v>0</v>
      </c>
      <c r="AL54">
        <f t="shared" si="38"/>
        <v>0</v>
      </c>
      <c r="AM54">
        <f t="shared" si="38"/>
        <v>0</v>
      </c>
      <c r="AN54">
        <f t="shared" si="38"/>
        <v>0</v>
      </c>
      <c r="AO54">
        <f t="shared" si="38"/>
        <v>0</v>
      </c>
      <c r="AP54">
        <f t="shared" si="38"/>
        <v>0</v>
      </c>
      <c r="AQ54">
        <f t="shared" si="38"/>
        <v>0</v>
      </c>
      <c r="AR54">
        <f t="shared" si="38"/>
        <v>0</v>
      </c>
      <c r="AV54">
        <f t="shared" ref="AV54:BH54" si="39">SUM(AV30:AV38)</f>
        <v>0</v>
      </c>
      <c r="AW54">
        <f t="shared" si="39"/>
        <v>0</v>
      </c>
      <c r="AX54">
        <f t="shared" si="39"/>
        <v>0</v>
      </c>
      <c r="AY54">
        <f t="shared" si="39"/>
        <v>0</v>
      </c>
      <c r="AZ54">
        <f t="shared" si="39"/>
        <v>0</v>
      </c>
      <c r="BA54">
        <f t="shared" si="39"/>
        <v>0</v>
      </c>
      <c r="BB54">
        <f t="shared" si="39"/>
        <v>0</v>
      </c>
      <c r="BC54">
        <f t="shared" si="39"/>
        <v>0</v>
      </c>
      <c r="BD54">
        <f t="shared" si="39"/>
        <v>0</v>
      </c>
      <c r="BE54">
        <f t="shared" si="39"/>
        <v>0</v>
      </c>
      <c r="BF54">
        <f t="shared" si="39"/>
        <v>0</v>
      </c>
      <c r="BG54">
        <f t="shared" si="39"/>
        <v>0</v>
      </c>
      <c r="BH54">
        <f t="shared" si="39"/>
        <v>0</v>
      </c>
      <c r="BJ54">
        <f t="shared" ref="BJ54:BV54" si="40">SUM(BJ30:BJ38)</f>
        <v>0</v>
      </c>
      <c r="BK54">
        <f t="shared" si="40"/>
        <v>0</v>
      </c>
      <c r="BL54">
        <f t="shared" si="40"/>
        <v>0</v>
      </c>
      <c r="BM54">
        <f t="shared" si="40"/>
        <v>0</v>
      </c>
      <c r="BN54">
        <f t="shared" si="40"/>
        <v>0</v>
      </c>
      <c r="BO54">
        <f t="shared" si="40"/>
        <v>0</v>
      </c>
      <c r="BP54">
        <f t="shared" si="40"/>
        <v>0</v>
      </c>
      <c r="BQ54">
        <f t="shared" si="40"/>
        <v>0</v>
      </c>
      <c r="BR54">
        <f t="shared" si="40"/>
        <v>0</v>
      </c>
      <c r="BS54">
        <f t="shared" si="40"/>
        <v>0</v>
      </c>
      <c r="BT54">
        <f t="shared" si="40"/>
        <v>0</v>
      </c>
      <c r="BU54">
        <f t="shared" si="40"/>
        <v>0</v>
      </c>
      <c r="BV54">
        <f t="shared" si="40"/>
        <v>0</v>
      </c>
      <c r="BY54">
        <f t="shared" ref="BY54:CK54" si="41">SUM(BY30:BY38)</f>
        <v>0</v>
      </c>
      <c r="BZ54">
        <f t="shared" si="41"/>
        <v>0</v>
      </c>
      <c r="CA54">
        <f t="shared" si="41"/>
        <v>0</v>
      </c>
      <c r="CB54">
        <f t="shared" si="41"/>
        <v>0</v>
      </c>
      <c r="CC54">
        <f t="shared" si="41"/>
        <v>0</v>
      </c>
      <c r="CD54">
        <f t="shared" si="41"/>
        <v>0</v>
      </c>
      <c r="CE54">
        <f t="shared" si="41"/>
        <v>0</v>
      </c>
      <c r="CF54">
        <f t="shared" si="41"/>
        <v>0</v>
      </c>
      <c r="CG54">
        <f t="shared" si="41"/>
        <v>0</v>
      </c>
      <c r="CH54">
        <f t="shared" si="41"/>
        <v>0</v>
      </c>
      <c r="CI54">
        <f t="shared" si="41"/>
        <v>0</v>
      </c>
      <c r="CJ54">
        <f t="shared" si="41"/>
        <v>0</v>
      </c>
      <c r="CK54">
        <f t="shared" si="41"/>
        <v>0</v>
      </c>
    </row>
    <row r="55" spans="1:89">
      <c r="A55" s="530"/>
      <c r="B55" s="447">
        <f>SUM(B37:B54)</f>
        <v>295.37615417172208</v>
      </c>
      <c r="C55" s="447">
        <f>SUM(C37:C54)</f>
        <v>299.77599903899903</v>
      </c>
      <c r="D55" s="447">
        <f>SUM(D37:D54)</f>
        <v>302.03499330200697</v>
      </c>
      <c r="E55" s="438"/>
      <c r="H55" s="219"/>
      <c r="I55" s="463" t="s">
        <v>2</v>
      </c>
      <c r="K55">
        <v>1</v>
      </c>
      <c r="L55">
        <v>0</v>
      </c>
      <c r="M55">
        <v>1</v>
      </c>
      <c r="N55">
        <v>2</v>
      </c>
      <c r="O55" s="1207">
        <f t="shared" si="33"/>
        <v>1</v>
      </c>
      <c r="P55" s="1207">
        <f t="shared" si="33"/>
        <v>1</v>
      </c>
    </row>
    <row r="56" spans="1:89">
      <c r="H56" s="219"/>
      <c r="I56" s="461" t="s">
        <v>10</v>
      </c>
      <c r="K56">
        <v>1</v>
      </c>
      <c r="L56">
        <v>1</v>
      </c>
      <c r="M56">
        <v>0</v>
      </c>
      <c r="N56">
        <v>1</v>
      </c>
      <c r="O56" s="1207">
        <f t="shared" si="33"/>
        <v>1</v>
      </c>
      <c r="P56" s="1207">
        <f t="shared" si="33"/>
        <v>1</v>
      </c>
    </row>
    <row r="57" spans="1:89">
      <c r="H57" s="219"/>
      <c r="I57" s="461" t="s">
        <v>4</v>
      </c>
      <c r="K57">
        <v>4</v>
      </c>
      <c r="L57">
        <v>0</v>
      </c>
      <c r="M57">
        <v>0</v>
      </c>
      <c r="N57">
        <v>1</v>
      </c>
      <c r="O57" s="1207">
        <f t="shared" si="33"/>
        <v>1</v>
      </c>
      <c r="P57" s="1207">
        <f t="shared" si="33"/>
        <v>1</v>
      </c>
    </row>
    <row r="58" spans="1:89">
      <c r="A58" s="214"/>
      <c r="B58" s="948" t="s">
        <v>568</v>
      </c>
      <c r="C58" s="948"/>
      <c r="D58" s="948"/>
      <c r="E58" s="532"/>
      <c r="H58" s="219"/>
      <c r="I58" s="461" t="s">
        <v>14</v>
      </c>
      <c r="K58">
        <v>4</v>
      </c>
      <c r="L58">
        <v>4</v>
      </c>
      <c r="M58">
        <v>6</v>
      </c>
      <c r="N58">
        <v>0</v>
      </c>
      <c r="O58" s="1207">
        <f t="shared" si="33"/>
        <v>4</v>
      </c>
      <c r="P58" s="1207">
        <f t="shared" si="33"/>
        <v>4</v>
      </c>
    </row>
    <row r="59" spans="1:89" ht="38.25">
      <c r="A59" s="214"/>
      <c r="B59" s="460" t="s">
        <v>1671</v>
      </c>
      <c r="C59" s="460" t="s">
        <v>1670</v>
      </c>
      <c r="D59" s="460" t="s">
        <v>1587</v>
      </c>
      <c r="E59" s="535"/>
      <c r="H59" s="219"/>
      <c r="I59" s="463" t="s">
        <v>17</v>
      </c>
      <c r="K59">
        <v>0</v>
      </c>
      <c r="L59">
        <v>0</v>
      </c>
      <c r="M59">
        <v>0</v>
      </c>
      <c r="N59">
        <v>0</v>
      </c>
      <c r="O59" s="1207">
        <f t="shared" si="33"/>
        <v>0</v>
      </c>
      <c r="P59" s="1207">
        <f t="shared" si="33"/>
        <v>0</v>
      </c>
    </row>
    <row r="60" spans="1:89">
      <c r="A60" s="461" t="s">
        <v>513</v>
      </c>
      <c r="B60" s="435">
        <v>0</v>
      </c>
      <c r="C60" s="462"/>
      <c r="D60" s="435">
        <v>0</v>
      </c>
      <c r="E60" s="435"/>
      <c r="F60" s="202">
        <f>F37</f>
        <v>2.9940236651900212</v>
      </c>
      <c r="G60" s="308">
        <v>0</v>
      </c>
      <c r="H60" s="219"/>
      <c r="I60" s="461" t="s">
        <v>316</v>
      </c>
      <c r="K60">
        <v>0</v>
      </c>
      <c r="L60">
        <v>2</v>
      </c>
      <c r="M60">
        <v>1</v>
      </c>
      <c r="N60">
        <v>0</v>
      </c>
      <c r="O60" s="1207">
        <f t="shared" si="33"/>
        <v>1</v>
      </c>
      <c r="P60" s="1207">
        <f t="shared" si="33"/>
        <v>1</v>
      </c>
    </row>
    <row r="61" spans="1:89">
      <c r="A61" s="461" t="s">
        <v>6</v>
      </c>
      <c r="B61" s="435">
        <v>0</v>
      </c>
      <c r="C61" s="462"/>
      <c r="D61" s="435">
        <v>0</v>
      </c>
      <c r="E61" s="435"/>
      <c r="F61" s="202">
        <f t="shared" ref="F61:F77" si="42">F38</f>
        <v>1.6370418041804178</v>
      </c>
      <c r="G61" s="308">
        <v>0</v>
      </c>
      <c r="H61" s="219"/>
      <c r="I61" s="461" t="s">
        <v>7</v>
      </c>
      <c r="K61">
        <v>4</v>
      </c>
      <c r="L61">
        <v>1</v>
      </c>
      <c r="M61">
        <v>0</v>
      </c>
      <c r="N61">
        <v>1</v>
      </c>
      <c r="O61" s="1207">
        <f t="shared" si="33"/>
        <v>2</v>
      </c>
      <c r="P61" s="1207">
        <f t="shared" si="33"/>
        <v>1</v>
      </c>
    </row>
    <row r="62" spans="1:89">
      <c r="A62" s="461" t="s">
        <v>8</v>
      </c>
      <c r="B62" s="435">
        <v>0</v>
      </c>
      <c r="C62" s="462"/>
      <c r="D62" s="435">
        <v>0</v>
      </c>
      <c r="E62" s="435"/>
      <c r="F62" s="202">
        <f t="shared" si="42"/>
        <v>1.46</v>
      </c>
      <c r="G62" s="308">
        <v>0</v>
      </c>
      <c r="H62" s="219"/>
      <c r="I62" s="461" t="s">
        <v>9</v>
      </c>
      <c r="K62">
        <v>0</v>
      </c>
      <c r="L62">
        <v>1</v>
      </c>
      <c r="M62">
        <v>0</v>
      </c>
      <c r="N62">
        <v>1</v>
      </c>
      <c r="O62" s="1207">
        <f t="shared" si="33"/>
        <v>1</v>
      </c>
      <c r="P62" s="1207">
        <f t="shared" si="33"/>
        <v>1</v>
      </c>
    </row>
    <row r="63" spans="1:89">
      <c r="A63" s="463" t="s">
        <v>2</v>
      </c>
      <c r="B63" s="435">
        <v>0</v>
      </c>
      <c r="C63" s="462"/>
      <c r="D63" s="435">
        <v>0</v>
      </c>
      <c r="E63" s="435"/>
      <c r="F63" s="202">
        <f t="shared" si="42"/>
        <v>2.7650000000000006</v>
      </c>
      <c r="G63" s="308">
        <v>0</v>
      </c>
      <c r="H63" s="219"/>
      <c r="I63" s="463" t="s">
        <v>5</v>
      </c>
      <c r="K63">
        <v>3</v>
      </c>
      <c r="L63">
        <v>0</v>
      </c>
      <c r="M63">
        <v>2</v>
      </c>
      <c r="N63">
        <v>2</v>
      </c>
      <c r="O63" s="1207">
        <f t="shared" si="33"/>
        <v>2</v>
      </c>
      <c r="P63" s="1207">
        <f t="shared" si="33"/>
        <v>2</v>
      </c>
    </row>
    <row r="64" spans="1:89">
      <c r="A64" s="461" t="s">
        <v>10</v>
      </c>
      <c r="B64" s="435">
        <v>0</v>
      </c>
      <c r="C64" s="462"/>
      <c r="D64" s="435">
        <v>0</v>
      </c>
      <c r="E64" s="435"/>
      <c r="F64" s="202">
        <f t="shared" si="42"/>
        <v>2.7690000000000001</v>
      </c>
      <c r="G64" s="308">
        <v>0</v>
      </c>
      <c r="H64" s="219"/>
      <c r="I64" s="461"/>
    </row>
    <row r="65" spans="1:16">
      <c r="A65" s="461" t="s">
        <v>4</v>
      </c>
      <c r="B65" s="435">
        <v>0</v>
      </c>
      <c r="C65" s="462"/>
      <c r="D65" s="435">
        <v>0</v>
      </c>
      <c r="E65" s="435"/>
      <c r="F65" s="202">
        <f t="shared" si="42"/>
        <v>2.6349949799196795</v>
      </c>
      <c r="G65" s="308">
        <v>0</v>
      </c>
      <c r="H65" s="219"/>
      <c r="I65" s="461" t="s">
        <v>516</v>
      </c>
    </row>
    <row r="66" spans="1:16">
      <c r="A66" s="461" t="s">
        <v>14</v>
      </c>
      <c r="B66" s="435">
        <f>F66*G66*AQ42</f>
        <v>0</v>
      </c>
      <c r="C66" s="462"/>
      <c r="D66" s="435">
        <f>F66*G66*BE42</f>
        <v>0</v>
      </c>
      <c r="E66" s="435"/>
      <c r="F66" s="202">
        <f t="shared" si="42"/>
        <v>2.6911358936484491</v>
      </c>
      <c r="G66" s="308">
        <f>D4</f>
        <v>1.2</v>
      </c>
      <c r="H66" s="219"/>
      <c r="I66" s="461" t="s">
        <v>537</v>
      </c>
    </row>
    <row r="67" spans="1:16">
      <c r="A67" s="463" t="s">
        <v>17</v>
      </c>
      <c r="B67" s="435">
        <v>0</v>
      </c>
      <c r="C67" s="462"/>
      <c r="D67" s="435">
        <v>0</v>
      </c>
      <c r="E67" s="435"/>
      <c r="F67" s="202">
        <f t="shared" si="42"/>
        <v>2.0860803827751191</v>
      </c>
      <c r="G67" s="308">
        <v>0</v>
      </c>
      <c r="H67" s="219"/>
      <c r="I67" s="463" t="s">
        <v>518</v>
      </c>
    </row>
    <row r="68" spans="1:16">
      <c r="A68" s="461" t="s">
        <v>316</v>
      </c>
      <c r="B68" s="435">
        <v>0</v>
      </c>
      <c r="C68" s="462"/>
      <c r="D68" s="435">
        <v>0</v>
      </c>
      <c r="E68" s="435"/>
      <c r="F68" s="202">
        <f t="shared" si="42"/>
        <v>2.7690000000000001</v>
      </c>
      <c r="G68" s="308">
        <v>0</v>
      </c>
      <c r="H68" s="219"/>
      <c r="I68" s="461" t="s">
        <v>536</v>
      </c>
    </row>
    <row r="69" spans="1:16">
      <c r="A69" s="461" t="s">
        <v>7</v>
      </c>
      <c r="B69" s="435">
        <v>0</v>
      </c>
      <c r="C69" s="462"/>
      <c r="D69" s="435">
        <v>0</v>
      </c>
      <c r="E69" s="435"/>
      <c r="F69" s="202">
        <f t="shared" si="42"/>
        <v>2.5786363770904241</v>
      </c>
      <c r="G69" s="308">
        <v>0</v>
      </c>
      <c r="H69" s="219"/>
      <c r="I69" s="527" t="s">
        <v>520</v>
      </c>
    </row>
    <row r="70" spans="1:16">
      <c r="A70" s="461" t="s">
        <v>9</v>
      </c>
      <c r="B70" s="435">
        <v>0</v>
      </c>
      <c r="C70" s="462"/>
      <c r="D70" s="435">
        <v>0</v>
      </c>
      <c r="E70" s="435"/>
      <c r="F70" s="202">
        <f t="shared" si="42"/>
        <v>2.3896966800804829</v>
      </c>
      <c r="G70" s="308">
        <v>0</v>
      </c>
      <c r="H70" s="219"/>
      <c r="I70" s="528"/>
      <c r="K70">
        <f t="shared" ref="K70:P70" si="43">SUM(K52:K69)</f>
        <v>17</v>
      </c>
      <c r="L70">
        <f t="shared" si="43"/>
        <v>10</v>
      </c>
      <c r="M70">
        <f t="shared" si="43"/>
        <v>13</v>
      </c>
      <c r="N70">
        <f t="shared" si="43"/>
        <v>10</v>
      </c>
      <c r="O70" s="1207">
        <f t="shared" si="43"/>
        <v>15</v>
      </c>
      <c r="P70" s="1207">
        <f t="shared" si="43"/>
        <v>14</v>
      </c>
    </row>
    <row r="71" spans="1:16">
      <c r="A71" s="463" t="s">
        <v>5</v>
      </c>
      <c r="B71" s="435">
        <v>0</v>
      </c>
      <c r="C71" s="462"/>
      <c r="D71" s="435">
        <v>0</v>
      </c>
      <c r="E71" s="435"/>
      <c r="F71" s="202">
        <f t="shared" si="42"/>
        <v>2.907463203463204</v>
      </c>
      <c r="G71" s="308">
        <v>0</v>
      </c>
      <c r="H71" s="219"/>
      <c r="I71" s="42"/>
    </row>
    <row r="72" spans="1:16">
      <c r="A72" s="461"/>
      <c r="B72" s="434"/>
      <c r="C72" s="462"/>
      <c r="D72" s="434"/>
      <c r="E72" s="434"/>
      <c r="F72" s="202"/>
      <c r="G72" s="308"/>
      <c r="H72" s="219"/>
      <c r="I72" s="42"/>
    </row>
    <row r="73" spans="1:16">
      <c r="A73" s="461" t="s">
        <v>516</v>
      </c>
      <c r="B73" s="435">
        <v>0</v>
      </c>
      <c r="C73" s="462"/>
      <c r="D73" s="435">
        <v>0</v>
      </c>
      <c r="E73" s="435"/>
      <c r="F73" s="202">
        <f t="shared" si="42"/>
        <v>0</v>
      </c>
      <c r="G73" s="308">
        <f>G50</f>
        <v>0</v>
      </c>
      <c r="H73" s="219"/>
    </row>
    <row r="74" spans="1:16">
      <c r="A74" s="461" t="s">
        <v>537</v>
      </c>
      <c r="B74" s="435">
        <v>0</v>
      </c>
      <c r="C74" s="462"/>
      <c r="D74" s="435">
        <v>0</v>
      </c>
      <c r="E74" s="435"/>
      <c r="F74" s="202">
        <f t="shared" si="42"/>
        <v>0</v>
      </c>
      <c r="G74" s="308">
        <f>G51</f>
        <v>0</v>
      </c>
      <c r="H74" s="219"/>
    </row>
    <row r="75" spans="1:16">
      <c r="A75" s="463" t="s">
        <v>518</v>
      </c>
      <c r="B75" s="435">
        <v>0</v>
      </c>
      <c r="C75" s="462"/>
      <c r="D75" s="435">
        <v>0</v>
      </c>
      <c r="E75" s="435"/>
      <c r="F75" s="202">
        <f t="shared" si="42"/>
        <v>0</v>
      </c>
      <c r="G75" s="308">
        <f>G52</f>
        <v>0</v>
      </c>
      <c r="H75" s="219"/>
      <c r="I75" s="947" t="s">
        <v>565</v>
      </c>
      <c r="J75" s="214"/>
      <c r="K75" s="214"/>
      <c r="L75" s="214"/>
      <c r="M75" s="214"/>
      <c r="N75" s="214"/>
      <c r="O75" s="214"/>
      <c r="P75" s="214"/>
    </row>
    <row r="76" spans="1:16">
      <c r="A76" s="461" t="s">
        <v>536</v>
      </c>
      <c r="B76" s="435">
        <v>0</v>
      </c>
      <c r="C76" s="462"/>
      <c r="D76" s="435">
        <v>0</v>
      </c>
      <c r="E76" s="435"/>
      <c r="F76" s="202">
        <f t="shared" si="42"/>
        <v>0</v>
      </c>
      <c r="G76" s="308">
        <f>G53</f>
        <v>0</v>
      </c>
      <c r="H76" s="219"/>
      <c r="I76" s="1436"/>
    </row>
    <row r="77" spans="1:16">
      <c r="A77" s="527" t="s">
        <v>520</v>
      </c>
      <c r="B77" s="435">
        <v>0</v>
      </c>
      <c r="C77" s="462"/>
      <c r="D77" s="435">
        <v>0</v>
      </c>
      <c r="E77" s="435"/>
      <c r="F77" s="202">
        <f t="shared" si="42"/>
        <v>0</v>
      </c>
      <c r="G77" s="308">
        <f>G54</f>
        <v>0</v>
      </c>
      <c r="H77" s="219"/>
      <c r="I77" s="461" t="s">
        <v>513</v>
      </c>
      <c r="K77">
        <v>5</v>
      </c>
      <c r="L77">
        <v>4</v>
      </c>
      <c r="M77">
        <v>9</v>
      </c>
      <c r="N77">
        <v>4</v>
      </c>
      <c r="O77" s="1207">
        <f t="shared" ref="O77:P88" si="44">ROUND(AVERAGE(K77:N77),0)</f>
        <v>6</v>
      </c>
      <c r="P77" s="1207">
        <f t="shared" si="44"/>
        <v>6</v>
      </c>
    </row>
    <row r="78" spans="1:16">
      <c r="A78" s="530"/>
      <c r="B78" s="447">
        <f>SUM(B60:B77)</f>
        <v>0</v>
      </c>
      <c r="C78" s="469"/>
      <c r="D78" s="447">
        <f>SUM(D60:D77)</f>
        <v>0</v>
      </c>
      <c r="E78" s="438"/>
      <c r="H78" s="219"/>
      <c r="I78" s="461" t="s">
        <v>6</v>
      </c>
      <c r="K78">
        <v>0</v>
      </c>
      <c r="L78">
        <v>0</v>
      </c>
      <c r="M78">
        <v>0</v>
      </c>
      <c r="N78">
        <v>0</v>
      </c>
      <c r="O78" s="1207">
        <f t="shared" si="44"/>
        <v>0</v>
      </c>
      <c r="P78" s="1207">
        <f t="shared" si="44"/>
        <v>0</v>
      </c>
    </row>
    <row r="79" spans="1:16">
      <c r="H79" s="219"/>
      <c r="I79" s="461" t="s">
        <v>8</v>
      </c>
      <c r="K79">
        <v>2</v>
      </c>
      <c r="L79">
        <v>1</v>
      </c>
      <c r="M79">
        <v>0</v>
      </c>
      <c r="N79">
        <v>4</v>
      </c>
      <c r="O79" s="1207">
        <f t="shared" si="44"/>
        <v>2</v>
      </c>
      <c r="P79" s="1207">
        <f t="shared" si="44"/>
        <v>2</v>
      </c>
    </row>
    <row r="80" spans="1:16">
      <c r="H80" s="219"/>
      <c r="I80" s="463" t="s">
        <v>2</v>
      </c>
      <c r="K80">
        <v>0</v>
      </c>
      <c r="L80">
        <v>3</v>
      </c>
      <c r="M80">
        <v>1</v>
      </c>
      <c r="N80">
        <v>3</v>
      </c>
      <c r="O80" s="1207">
        <f t="shared" si="44"/>
        <v>2</v>
      </c>
      <c r="P80" s="1207">
        <f t="shared" si="44"/>
        <v>2</v>
      </c>
    </row>
    <row r="81" spans="8:16">
      <c r="H81" s="219"/>
      <c r="I81" s="461" t="s">
        <v>10</v>
      </c>
      <c r="K81">
        <v>0</v>
      </c>
      <c r="L81">
        <v>0</v>
      </c>
      <c r="M81">
        <v>0</v>
      </c>
      <c r="N81">
        <v>0</v>
      </c>
      <c r="O81" s="1207">
        <f t="shared" si="44"/>
        <v>0</v>
      </c>
      <c r="P81" s="1207">
        <f t="shared" si="44"/>
        <v>0</v>
      </c>
    </row>
    <row r="82" spans="8:16">
      <c r="H82" s="219"/>
      <c r="I82" s="461" t="s">
        <v>4</v>
      </c>
      <c r="K82">
        <v>0</v>
      </c>
      <c r="L82">
        <v>0</v>
      </c>
      <c r="M82">
        <v>0</v>
      </c>
      <c r="N82">
        <v>0</v>
      </c>
      <c r="O82" s="1207">
        <f t="shared" si="44"/>
        <v>0</v>
      </c>
      <c r="P82" s="1207">
        <f t="shared" si="44"/>
        <v>0</v>
      </c>
    </row>
    <row r="83" spans="8:16">
      <c r="H83" s="219"/>
      <c r="I83" s="461" t="s">
        <v>14</v>
      </c>
      <c r="K83">
        <v>13</v>
      </c>
      <c r="L83">
        <v>5</v>
      </c>
      <c r="M83">
        <v>6</v>
      </c>
      <c r="N83">
        <v>1</v>
      </c>
      <c r="O83" s="1207">
        <f t="shared" si="44"/>
        <v>6</v>
      </c>
      <c r="P83" s="1207">
        <f t="shared" si="44"/>
        <v>5</v>
      </c>
    </row>
    <row r="84" spans="8:16">
      <c r="H84" s="219"/>
      <c r="I84" s="463" t="s">
        <v>17</v>
      </c>
      <c r="K84">
        <v>22</v>
      </c>
      <c r="L84">
        <v>18</v>
      </c>
      <c r="M84">
        <v>15</v>
      </c>
      <c r="N84">
        <v>22</v>
      </c>
      <c r="O84" s="1207">
        <f t="shared" si="44"/>
        <v>19</v>
      </c>
      <c r="P84" s="1207">
        <f t="shared" si="44"/>
        <v>19</v>
      </c>
    </row>
    <row r="85" spans="8:16">
      <c r="H85" s="219"/>
      <c r="I85" s="461" t="s">
        <v>316</v>
      </c>
      <c r="K85">
        <v>0</v>
      </c>
      <c r="L85">
        <v>0</v>
      </c>
      <c r="M85">
        <v>0</v>
      </c>
      <c r="N85">
        <v>0</v>
      </c>
      <c r="O85" s="1207">
        <f t="shared" si="44"/>
        <v>0</v>
      </c>
      <c r="P85" s="1207">
        <f t="shared" si="44"/>
        <v>0</v>
      </c>
    </row>
    <row r="86" spans="8:16">
      <c r="H86" s="219"/>
      <c r="I86" s="461" t="s">
        <v>7</v>
      </c>
      <c r="K86">
        <v>3</v>
      </c>
      <c r="L86">
        <v>4</v>
      </c>
      <c r="M86">
        <v>7</v>
      </c>
      <c r="N86">
        <v>3</v>
      </c>
      <c r="O86" s="1207">
        <f t="shared" si="44"/>
        <v>4</v>
      </c>
      <c r="P86" s="1207">
        <f t="shared" si="44"/>
        <v>5</v>
      </c>
    </row>
    <row r="87" spans="8:16">
      <c r="H87" s="219"/>
      <c r="I87" s="461" t="s">
        <v>9</v>
      </c>
      <c r="K87">
        <v>0</v>
      </c>
      <c r="L87">
        <v>0</v>
      </c>
      <c r="M87">
        <v>0</v>
      </c>
      <c r="N87">
        <v>1</v>
      </c>
      <c r="O87" s="1207">
        <f t="shared" si="44"/>
        <v>0</v>
      </c>
      <c r="P87" s="1207">
        <f t="shared" si="44"/>
        <v>0</v>
      </c>
    </row>
    <row r="88" spans="8:16">
      <c r="H88" s="219"/>
      <c r="I88" s="463" t="s">
        <v>5</v>
      </c>
      <c r="K88">
        <v>4</v>
      </c>
      <c r="L88">
        <v>7</v>
      </c>
      <c r="M88">
        <v>6</v>
      </c>
      <c r="N88">
        <v>7</v>
      </c>
      <c r="O88" s="1207">
        <f t="shared" si="44"/>
        <v>6</v>
      </c>
      <c r="P88" s="1207">
        <f t="shared" si="44"/>
        <v>7</v>
      </c>
    </row>
    <row r="89" spans="8:16">
      <c r="H89" s="219"/>
      <c r="I89" s="461"/>
    </row>
    <row r="90" spans="8:16">
      <c r="H90" s="219"/>
      <c r="I90" s="461" t="s">
        <v>516</v>
      </c>
    </row>
    <row r="91" spans="8:16">
      <c r="H91" s="219"/>
      <c r="I91" s="461" t="s">
        <v>537</v>
      </c>
    </row>
    <row r="92" spans="8:16">
      <c r="H92" s="219"/>
      <c r="I92" s="463" t="s">
        <v>518</v>
      </c>
    </row>
    <row r="93" spans="8:16">
      <c r="H93" s="219"/>
      <c r="I93" s="461" t="s">
        <v>536</v>
      </c>
    </row>
    <row r="94" spans="8:16">
      <c r="H94" s="219"/>
      <c r="I94" s="527" t="s">
        <v>520</v>
      </c>
    </row>
    <row r="95" spans="8:16">
      <c r="H95" s="219"/>
      <c r="I95" s="530"/>
      <c r="K95">
        <f t="shared" ref="K95:P95" si="45">SUM(K77:K94)</f>
        <v>49</v>
      </c>
      <c r="L95">
        <f t="shared" si="45"/>
        <v>42</v>
      </c>
      <c r="M95">
        <f t="shared" si="45"/>
        <v>44</v>
      </c>
      <c r="N95">
        <f t="shared" si="45"/>
        <v>45</v>
      </c>
      <c r="O95" s="1207">
        <f t="shared" si="45"/>
        <v>45</v>
      </c>
      <c r="P95" s="1207">
        <f t="shared" si="45"/>
        <v>46</v>
      </c>
    </row>
    <row r="96" spans="8:16">
      <c r="H96" s="219"/>
    </row>
    <row r="97" spans="8:16">
      <c r="H97" s="219"/>
      <c r="O97">
        <f>SUM(M95:O95)</f>
        <v>134</v>
      </c>
      <c r="P97">
        <f>SUM(N95:P95)</f>
        <v>136</v>
      </c>
    </row>
    <row r="98" spans="8:16">
      <c r="H98" s="219"/>
      <c r="I98" s="14"/>
    </row>
    <row r="99" spans="8:16">
      <c r="H99" s="219"/>
      <c r="I99" s="214"/>
      <c r="J99" s="214"/>
      <c r="K99" s="214"/>
      <c r="L99" s="214"/>
      <c r="M99" s="214"/>
      <c r="N99" s="214"/>
      <c r="O99" s="214"/>
      <c r="P99" s="214"/>
    </row>
    <row r="100" spans="8:16">
      <c r="H100" s="219"/>
      <c r="I100" s="461" t="s">
        <v>513</v>
      </c>
    </row>
    <row r="101" spans="8:16">
      <c r="H101" s="219"/>
      <c r="I101" s="461" t="s">
        <v>6</v>
      </c>
    </row>
    <row r="102" spans="8:16">
      <c r="H102" s="219"/>
      <c r="I102" s="461" t="s">
        <v>8</v>
      </c>
    </row>
    <row r="103" spans="8:16">
      <c r="H103" s="219"/>
      <c r="I103" s="463" t="s">
        <v>2</v>
      </c>
    </row>
    <row r="104" spans="8:16">
      <c r="H104" s="219"/>
      <c r="I104" s="461" t="s">
        <v>10</v>
      </c>
    </row>
    <row r="105" spans="8:16">
      <c r="H105" s="219"/>
      <c r="I105" s="461" t="s">
        <v>4</v>
      </c>
    </row>
    <row r="106" spans="8:16">
      <c r="H106" s="219"/>
      <c r="I106" s="461" t="s">
        <v>14</v>
      </c>
    </row>
    <row r="107" spans="8:16">
      <c r="H107" s="219"/>
      <c r="I107" s="463" t="s">
        <v>17</v>
      </c>
    </row>
    <row r="108" spans="8:16">
      <c r="H108" s="219"/>
      <c r="I108" s="461" t="s">
        <v>316</v>
      </c>
    </row>
    <row r="109" spans="8:16">
      <c r="H109" s="219"/>
      <c r="I109" s="461" t="s">
        <v>7</v>
      </c>
    </row>
    <row r="110" spans="8:16">
      <c r="H110" s="219"/>
      <c r="I110" s="461" t="s">
        <v>9</v>
      </c>
    </row>
    <row r="111" spans="8:16">
      <c r="H111" s="219"/>
      <c r="I111" s="463" t="s">
        <v>5</v>
      </c>
    </row>
    <row r="112" spans="8:16">
      <c r="H112" s="219"/>
      <c r="I112" s="461"/>
    </row>
    <row r="113" spans="8:14">
      <c r="H113" s="219"/>
      <c r="I113" s="461" t="s">
        <v>516</v>
      </c>
    </row>
    <row r="114" spans="8:14">
      <c r="H114" s="219"/>
      <c r="I114" s="461" t="s">
        <v>537</v>
      </c>
    </row>
    <row r="115" spans="8:14">
      <c r="H115" s="219"/>
      <c r="I115" s="463" t="s">
        <v>518</v>
      </c>
    </row>
    <row r="116" spans="8:14">
      <c r="H116" s="219"/>
      <c r="I116" s="461" t="s">
        <v>536</v>
      </c>
    </row>
    <row r="117" spans="8:14">
      <c r="H117" s="219"/>
      <c r="I117" s="527" t="s">
        <v>520</v>
      </c>
    </row>
    <row r="118" spans="8:14">
      <c r="H118" s="219"/>
      <c r="I118" s="530"/>
      <c r="K118">
        <f>SUM(K100:K117)</f>
        <v>0</v>
      </c>
      <c r="L118">
        <f>SUM(L100:L117)</f>
        <v>0</v>
      </c>
      <c r="M118">
        <f>SUM(M100:M117)</f>
        <v>0</v>
      </c>
      <c r="N118">
        <f>SUM(N100:N117)</f>
        <v>0</v>
      </c>
    </row>
  </sheetData>
  <pageMargins left="0.75" right="0.75" top="1" bottom="1" header="0.5" footer="0.5"/>
  <pageSetup orientation="portrait" horizontalDpi="4294967292" vertic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41"/>
  <sheetViews>
    <sheetView zoomScale="110" zoomScaleNormal="110" zoomScalePageLayoutView="110" workbookViewId="0">
      <selection activeCell="S38" sqref="S38"/>
    </sheetView>
  </sheetViews>
  <sheetFormatPr defaultColWidth="11" defaultRowHeight="15.75"/>
  <cols>
    <col min="1" max="1" width="25" customWidth="1"/>
    <col min="3" max="4" width="11.5" customWidth="1"/>
    <col min="9" max="9" width="22.5" customWidth="1"/>
    <col min="13" max="13" width="14.5" customWidth="1"/>
    <col min="14" max="14" width="12.875" customWidth="1"/>
    <col min="15" max="15" width="13.625" customWidth="1"/>
    <col min="16" max="16" width="5.375" customWidth="1"/>
    <col min="17" max="17" width="14" customWidth="1"/>
    <col min="18" max="18" width="15" bestFit="1" customWidth="1"/>
    <col min="19" max="21" width="14.875" customWidth="1"/>
    <col min="23" max="23" width="11" style="148"/>
    <col min="24" max="24" width="12.625" style="148" customWidth="1"/>
    <col min="25" max="25" width="11" style="148"/>
    <col min="27" max="27" width="11.625" bestFit="1" customWidth="1"/>
  </cols>
  <sheetData>
    <row r="1" spans="1:27">
      <c r="A1" s="10" t="s">
        <v>574</v>
      </c>
    </row>
    <row r="2" spans="1:27">
      <c r="A2" t="s">
        <v>942</v>
      </c>
      <c r="Q2" s="1957" t="s">
        <v>887</v>
      </c>
      <c r="R2" s="1957"/>
      <c r="S2" s="1641"/>
      <c r="T2" s="1711"/>
      <c r="U2" s="1635"/>
    </row>
    <row r="3" spans="1:27" ht="16.5" thickBot="1">
      <c r="A3" t="s">
        <v>943</v>
      </c>
      <c r="Q3" t="s">
        <v>944</v>
      </c>
    </row>
    <row r="4" spans="1:27">
      <c r="I4" s="211" t="s">
        <v>1228</v>
      </c>
      <c r="J4" s="211"/>
      <c r="K4" s="211"/>
      <c r="L4" s="211"/>
      <c r="M4" s="211"/>
      <c r="N4" s="211"/>
      <c r="O4" s="211"/>
      <c r="P4" s="211"/>
      <c r="Q4" s="211"/>
      <c r="R4" s="263"/>
      <c r="S4" s="390"/>
      <c r="T4" s="390"/>
      <c r="U4" s="391"/>
    </row>
    <row r="5" spans="1:27">
      <c r="A5" s="458" t="s">
        <v>846</v>
      </c>
      <c r="B5" s="211"/>
      <c r="C5" s="211"/>
      <c r="D5" s="211"/>
      <c r="F5" s="1165" t="s">
        <v>65</v>
      </c>
      <c r="G5" s="1165" t="s">
        <v>66</v>
      </c>
      <c r="J5" s="57"/>
      <c r="K5" s="57"/>
      <c r="L5" s="57"/>
      <c r="M5" s="57"/>
      <c r="N5" s="57"/>
      <c r="O5" s="57"/>
      <c r="P5" s="1620"/>
      <c r="Q5" s="1620"/>
      <c r="R5" s="57">
        <v>1</v>
      </c>
      <c r="S5" s="57">
        <v>2</v>
      </c>
      <c r="T5" s="57">
        <v>3</v>
      </c>
      <c r="U5" s="392">
        <v>4</v>
      </c>
    </row>
    <row r="6" spans="1:27" ht="26.25">
      <c r="A6" s="459"/>
      <c r="B6" s="460" t="s">
        <v>848</v>
      </c>
      <c r="C6" s="460" t="s">
        <v>849</v>
      </c>
      <c r="D6" s="460" t="s">
        <v>1605</v>
      </c>
      <c r="F6" s="433" t="s">
        <v>1168</v>
      </c>
      <c r="G6" s="433" t="s">
        <v>1169</v>
      </c>
      <c r="I6" s="1051" t="s">
        <v>830</v>
      </c>
      <c r="J6" s="1193" t="s">
        <v>63</v>
      </c>
      <c r="K6" s="1193" t="s">
        <v>62</v>
      </c>
      <c r="L6" s="1193" t="s">
        <v>417</v>
      </c>
      <c r="M6" s="1193" t="s">
        <v>812</v>
      </c>
      <c r="N6" s="1194" t="s">
        <v>1473</v>
      </c>
      <c r="O6" s="1194" t="s">
        <v>1393</v>
      </c>
      <c r="P6" s="1194"/>
      <c r="Q6" s="1194" t="s">
        <v>1575</v>
      </c>
      <c r="R6" s="1190" t="s">
        <v>1724</v>
      </c>
      <c r="S6" s="507" t="s">
        <v>1656</v>
      </c>
      <c r="T6" s="1716" t="s">
        <v>1657</v>
      </c>
      <c r="U6" s="1190" t="s">
        <v>1687</v>
      </c>
      <c r="W6" s="1727" t="s">
        <v>812</v>
      </c>
      <c r="X6" s="1728" t="s">
        <v>1473</v>
      </c>
      <c r="Y6" s="1728" t="s">
        <v>1393</v>
      </c>
    </row>
    <row r="7" spans="1:27">
      <c r="A7" s="461" t="s">
        <v>513</v>
      </c>
      <c r="B7" s="435">
        <v>6654500</v>
      </c>
      <c r="C7" s="435">
        <v>6845000</v>
      </c>
      <c r="D7" s="641">
        <f>T8</f>
        <v>8010000</v>
      </c>
      <c r="F7">
        <f>'What If Data'!H25*0.72*208+0.72*448*'What If Data'!I25</f>
        <v>0</v>
      </c>
      <c r="G7">
        <f>0.72*(201*'What If Data'!J25+457*'What If Data'!K25)</f>
        <v>0</v>
      </c>
      <c r="I7" s="1053"/>
      <c r="J7" s="57"/>
      <c r="K7" s="57"/>
      <c r="L7" s="57"/>
      <c r="M7" s="57"/>
      <c r="N7" s="57"/>
      <c r="O7" s="57"/>
      <c r="P7" s="57"/>
      <c r="Q7" s="57"/>
      <c r="R7" s="57"/>
      <c r="S7" s="432"/>
      <c r="T7" s="432"/>
    </row>
    <row r="8" spans="1:27">
      <c r="A8" s="461" t="s">
        <v>6</v>
      </c>
      <c r="B8" s="435">
        <v>3000000</v>
      </c>
      <c r="C8" s="435">
        <v>4370000</v>
      </c>
      <c r="D8" s="641">
        <f>T9</f>
        <v>5643866</v>
      </c>
      <c r="F8">
        <f>'What If Data'!H26*0.72*208+0.72*448*'What If Data'!I26</f>
        <v>0</v>
      </c>
      <c r="G8">
        <f>0.72*(201*'What If Data'!J26+457*'What If Data'!K26)</f>
        <v>0</v>
      </c>
      <c r="I8" s="1054" t="s">
        <v>513</v>
      </c>
      <c r="J8" s="1055">
        <v>3717218</v>
      </c>
      <c r="K8" s="1055">
        <v>4191524</v>
      </c>
      <c r="L8" s="1055">
        <v>4828168</v>
      </c>
      <c r="M8" s="1055">
        <v>5937897</v>
      </c>
      <c r="N8" s="1718">
        <v>6872121</v>
      </c>
      <c r="O8" s="1616">
        <v>7828764</v>
      </c>
      <c r="P8" s="1055"/>
      <c r="Q8" s="1055">
        <f>ROUND(TREND(M8:O8,R$5:T$5,U$5),-3)</f>
        <v>8770000</v>
      </c>
      <c r="R8" s="1202">
        <f>0.98175*Q8</f>
        <v>8609947.5</v>
      </c>
      <c r="S8" s="1059">
        <f>0.9*R8</f>
        <v>7748952.75</v>
      </c>
      <c r="T8" s="1059">
        <v>8010000</v>
      </c>
      <c r="U8" s="1721">
        <f>T8-S8</f>
        <v>261047.25</v>
      </c>
      <c r="W8" s="1729">
        <f>M8-L8</f>
        <v>1109729</v>
      </c>
      <c r="X8" s="1729">
        <f t="shared" ref="X8:X17" si="0">N8-M8</f>
        <v>934224</v>
      </c>
      <c r="Y8" s="1729">
        <f t="shared" ref="Y8:Y17" si="1">O8-N8</f>
        <v>956643</v>
      </c>
    </row>
    <row r="9" spans="1:27">
      <c r="A9" s="461" t="s">
        <v>8</v>
      </c>
      <c r="B9" s="435">
        <v>1600000</v>
      </c>
      <c r="C9" s="435">
        <v>1785000</v>
      </c>
      <c r="D9" s="641">
        <f>T11</f>
        <v>2390286</v>
      </c>
      <c r="F9">
        <f>'What If Data'!H27*0.72*208+0.72*448*'What If Data'!I27</f>
        <v>0</v>
      </c>
      <c r="G9">
        <f>0.72*(201*'What If Data'!J27+457*'What If Data'!K27)</f>
        <v>0</v>
      </c>
      <c r="I9" s="1054" t="s">
        <v>6</v>
      </c>
      <c r="J9" s="1055">
        <v>975688</v>
      </c>
      <c r="K9" s="1055">
        <v>1216575</v>
      </c>
      <c r="L9" s="1055">
        <v>2221976</v>
      </c>
      <c r="M9" s="1055">
        <v>3085635</v>
      </c>
      <c r="N9" s="1718">
        <v>4228605</v>
      </c>
      <c r="O9" s="1616">
        <v>5663403</v>
      </c>
      <c r="P9" s="1055"/>
      <c r="Q9" s="1055">
        <f t="shared" ref="Q9:Q17" si="2">ROUND(TREND(M9:O9,R$5:T$5,U$5),-3)</f>
        <v>6904000</v>
      </c>
      <c r="R9" s="1202">
        <f t="shared" ref="R9:R17" si="3">0.98175*Q9</f>
        <v>6778002</v>
      </c>
      <c r="S9" s="1059">
        <f t="shared" ref="S9:S17" si="4">0.9*R9</f>
        <v>6100201.7999999998</v>
      </c>
      <c r="T9" s="1059">
        <v>5643866</v>
      </c>
      <c r="U9" s="1721">
        <f t="shared" ref="U9:U17" si="5">T9-S9</f>
        <v>-456335.79999999981</v>
      </c>
      <c r="W9" s="1729">
        <f t="shared" ref="W9:W17" si="6">M9-L9</f>
        <v>863659</v>
      </c>
      <c r="X9" s="1729">
        <f t="shared" si="0"/>
        <v>1142970</v>
      </c>
      <c r="Y9" s="1729">
        <f t="shared" si="1"/>
        <v>1434798</v>
      </c>
    </row>
    <row r="10" spans="1:27">
      <c r="A10" s="463" t="s">
        <v>2</v>
      </c>
      <c r="B10" s="435">
        <v>1150000</v>
      </c>
      <c r="C10" s="435">
        <v>1475000</v>
      </c>
      <c r="D10" s="641">
        <f>T13</f>
        <v>1400000</v>
      </c>
      <c r="F10">
        <f>'What If Data'!H28*0.72*208+0.72*448*'What If Data'!I28</f>
        <v>0</v>
      </c>
      <c r="G10">
        <f>0.72*(201*'What If Data'!J28+457*'What If Data'!K28)</f>
        <v>0</v>
      </c>
      <c r="I10" s="1054" t="s">
        <v>831</v>
      </c>
      <c r="J10" s="1055">
        <v>1318094</v>
      </c>
      <c r="K10" s="1055">
        <v>1232525</v>
      </c>
      <c r="L10" s="1055">
        <v>1316584</v>
      </c>
      <c r="M10" s="1055">
        <v>1306248</v>
      </c>
      <c r="N10" s="1718">
        <v>1800635</v>
      </c>
      <c r="O10" s="1616">
        <v>1857658</v>
      </c>
      <c r="P10" s="1055"/>
      <c r="Q10" s="1055">
        <f t="shared" si="2"/>
        <v>2206000</v>
      </c>
      <c r="R10" s="1202">
        <f t="shared" si="3"/>
        <v>2165740.5</v>
      </c>
      <c r="S10" s="1059">
        <f t="shared" si="4"/>
        <v>1949166.45</v>
      </c>
      <c r="T10" s="1059">
        <v>1500000</v>
      </c>
      <c r="U10" s="1721">
        <f t="shared" si="5"/>
        <v>-449166.44999999995</v>
      </c>
      <c r="W10" s="1729">
        <f t="shared" si="6"/>
        <v>-10336</v>
      </c>
      <c r="X10" s="1729">
        <f t="shared" si="0"/>
        <v>494387</v>
      </c>
      <c r="Y10" s="1729">
        <f t="shared" si="1"/>
        <v>57023</v>
      </c>
    </row>
    <row r="11" spans="1:27">
      <c r="A11" s="461" t="s">
        <v>10</v>
      </c>
      <c r="B11" s="435">
        <v>0</v>
      </c>
      <c r="C11" s="435">
        <v>14000</v>
      </c>
      <c r="D11" s="641">
        <f>T15</f>
        <v>35000</v>
      </c>
      <c r="F11">
        <f>'What If Data'!H29*0.72*208+0.72*448*'What If Data'!I29</f>
        <v>0</v>
      </c>
      <c r="G11">
        <f>0.72*(201*'What If Data'!J29+457*'What If Data'!K29)</f>
        <v>0</v>
      </c>
      <c r="I11" s="1054" t="s">
        <v>8</v>
      </c>
      <c r="J11" s="1055">
        <v>1448033</v>
      </c>
      <c r="K11" s="1055">
        <v>1472444</v>
      </c>
      <c r="L11" s="1055">
        <v>1507080</v>
      </c>
      <c r="M11" s="1055">
        <v>1734127</v>
      </c>
      <c r="N11" s="1718">
        <v>2097263</v>
      </c>
      <c r="O11" s="1616">
        <v>2442958</v>
      </c>
      <c r="P11" s="1055"/>
      <c r="Q11" s="1055">
        <f t="shared" si="2"/>
        <v>2800000</v>
      </c>
      <c r="R11" s="1202">
        <f t="shared" si="3"/>
        <v>2748900</v>
      </c>
      <c r="S11" s="1059">
        <f t="shared" si="4"/>
        <v>2474010</v>
      </c>
      <c r="T11" s="1059">
        <v>2390286</v>
      </c>
      <c r="U11" s="1721">
        <f t="shared" si="5"/>
        <v>-83724</v>
      </c>
      <c r="W11" s="1729">
        <f t="shared" si="6"/>
        <v>227047</v>
      </c>
      <c r="X11" s="1729">
        <f t="shared" si="0"/>
        <v>363136</v>
      </c>
      <c r="Y11" s="1729">
        <f t="shared" si="1"/>
        <v>345695</v>
      </c>
    </row>
    <row r="12" spans="1:27">
      <c r="A12" s="461" t="s">
        <v>4</v>
      </c>
      <c r="B12" s="435">
        <v>4200000</v>
      </c>
      <c r="C12" s="435">
        <v>4644000</v>
      </c>
      <c r="D12" s="641">
        <f>T17</f>
        <v>5600000</v>
      </c>
      <c r="F12">
        <f>'What If Data'!H30*0.72*208+0.72*448*'What If Data'!I30</f>
        <v>0</v>
      </c>
      <c r="G12">
        <f>0.72*(201*'What If Data'!J30+457*'What If Data'!K30)</f>
        <v>0</v>
      </c>
      <c r="I12" s="1054" t="s">
        <v>7</v>
      </c>
      <c r="J12" s="1055">
        <v>4706757</v>
      </c>
      <c r="K12" s="1055">
        <v>8420641</v>
      </c>
      <c r="L12" s="1055">
        <v>10119519</v>
      </c>
      <c r="M12" s="1055">
        <v>11795739</v>
      </c>
      <c r="N12" s="1718">
        <v>14620783</v>
      </c>
      <c r="O12" s="1616">
        <v>14657333</v>
      </c>
      <c r="P12" s="1055"/>
      <c r="Q12" s="1055">
        <f>ROUND(TREND(M12:O12,R$5:T$5,U$5),-3)-1000000</f>
        <v>15553000</v>
      </c>
      <c r="R12" s="1202">
        <f t="shared" si="3"/>
        <v>15269157.75</v>
      </c>
      <c r="S12" s="1059">
        <f t="shared" si="4"/>
        <v>13742241.975</v>
      </c>
      <c r="T12" s="1059">
        <v>13500000</v>
      </c>
      <c r="U12" s="1721">
        <f t="shared" si="5"/>
        <v>-242241.97499999963</v>
      </c>
      <c r="W12" s="1729">
        <f t="shared" si="6"/>
        <v>1676220</v>
      </c>
      <c r="X12" s="1729">
        <f t="shared" si="0"/>
        <v>2825044</v>
      </c>
      <c r="Y12" s="1729">
        <f t="shared" si="1"/>
        <v>36550</v>
      </c>
      <c r="AA12" s="1201">
        <f>AVERAGE(W12:Y12)</f>
        <v>1512604.6666666667</v>
      </c>
    </row>
    <row r="13" spans="1:27">
      <c r="A13" s="461" t="s">
        <v>14</v>
      </c>
      <c r="B13" s="435">
        <v>100000</v>
      </c>
      <c r="C13" s="435">
        <v>222000</v>
      </c>
      <c r="D13" s="641">
        <f>T19</f>
        <v>237540</v>
      </c>
      <c r="F13">
        <f>'What If Data'!H31*0.72*208+0.72*448*'What If Data'!I31</f>
        <v>0</v>
      </c>
      <c r="G13">
        <f>0.72*(201*'What If Data'!J31+457*'What If Data'!K31)</f>
        <v>0</v>
      </c>
      <c r="I13" s="1054" t="s">
        <v>832</v>
      </c>
      <c r="J13" s="1055">
        <v>940073</v>
      </c>
      <c r="K13" s="1055">
        <v>979717</v>
      </c>
      <c r="L13" s="1055">
        <v>1094180</v>
      </c>
      <c r="M13" s="1055">
        <v>1317598</v>
      </c>
      <c r="N13" s="1718">
        <v>1451243</v>
      </c>
      <c r="O13" s="1616">
        <v>1424916</v>
      </c>
      <c r="P13" s="1055"/>
      <c r="Q13" s="1055">
        <f t="shared" si="2"/>
        <v>1505000</v>
      </c>
      <c r="R13" s="1202">
        <f t="shared" si="3"/>
        <v>1477533.75</v>
      </c>
      <c r="S13" s="1059">
        <f t="shared" si="4"/>
        <v>1329780.375</v>
      </c>
      <c r="T13" s="1059">
        <v>1400000</v>
      </c>
      <c r="U13" s="1721">
        <f t="shared" si="5"/>
        <v>70219.625</v>
      </c>
      <c r="W13" s="1729">
        <f t="shared" si="6"/>
        <v>223418</v>
      </c>
      <c r="X13" s="1729">
        <f t="shared" si="0"/>
        <v>133645</v>
      </c>
      <c r="Y13" s="1729">
        <f t="shared" si="1"/>
        <v>-26327</v>
      </c>
    </row>
    <row r="14" spans="1:27">
      <c r="A14" s="463" t="s">
        <v>17</v>
      </c>
      <c r="B14" s="435">
        <v>12500000</v>
      </c>
      <c r="C14" s="435">
        <v>12243000</v>
      </c>
      <c r="D14" s="641">
        <f>T14</f>
        <v>13672115</v>
      </c>
      <c r="F14">
        <f>'What If Data'!H32*0.72*208+0.72*448*'What If Data'!I32</f>
        <v>0</v>
      </c>
      <c r="G14">
        <f>0.72*(201*'What If Data'!J32+457*'What If Data'!K32)</f>
        <v>0</v>
      </c>
      <c r="I14" s="1054" t="s">
        <v>17</v>
      </c>
      <c r="J14" s="1055">
        <v>8601805</v>
      </c>
      <c r="K14" s="1055">
        <v>8962806</v>
      </c>
      <c r="L14" s="1055">
        <v>9966051</v>
      </c>
      <c r="M14" s="1055">
        <v>11377603</v>
      </c>
      <c r="N14" s="1718">
        <v>12649629</v>
      </c>
      <c r="O14" s="1616">
        <v>14248544</v>
      </c>
      <c r="P14" s="1055"/>
      <c r="Q14" s="1055">
        <f t="shared" si="2"/>
        <v>15630000</v>
      </c>
      <c r="R14" s="1202">
        <f t="shared" si="3"/>
        <v>15344752.5</v>
      </c>
      <c r="S14" s="1059">
        <f t="shared" si="4"/>
        <v>13810277.25</v>
      </c>
      <c r="T14" s="1059">
        <v>13672115</v>
      </c>
      <c r="U14" s="1721">
        <f t="shared" si="5"/>
        <v>-138162.25</v>
      </c>
      <c r="W14" s="1729">
        <f t="shared" si="6"/>
        <v>1411552</v>
      </c>
      <c r="X14" s="1729">
        <f t="shared" si="0"/>
        <v>1272026</v>
      </c>
      <c r="Y14" s="1729">
        <f t="shared" si="1"/>
        <v>1598915</v>
      </c>
    </row>
    <row r="15" spans="1:27">
      <c r="A15" s="461" t="s">
        <v>316</v>
      </c>
      <c r="B15" s="435">
        <v>0</v>
      </c>
      <c r="C15" s="435">
        <v>0</v>
      </c>
      <c r="D15" s="641">
        <f>T18</f>
        <v>0</v>
      </c>
      <c r="F15">
        <f>'What If Data'!H33*0.72*208+0.72*448*'What If Data'!I33</f>
        <v>0</v>
      </c>
      <c r="G15">
        <f>0.72*(201*'What If Data'!J33+457*'What If Data'!K33)</f>
        <v>0</v>
      </c>
      <c r="I15" s="1054" t="s">
        <v>10</v>
      </c>
      <c r="J15" s="1055">
        <v>40710</v>
      </c>
      <c r="K15" s="1055">
        <v>28344</v>
      </c>
      <c r="L15" s="1055">
        <v>30888</v>
      </c>
      <c r="M15" s="1055">
        <v>22464</v>
      </c>
      <c r="N15" s="1718">
        <v>38304</v>
      </c>
      <c r="O15" s="1616">
        <v>47060</v>
      </c>
      <c r="P15" s="1055"/>
      <c r="Q15" s="1055">
        <f t="shared" si="2"/>
        <v>61000</v>
      </c>
      <c r="R15" s="1202">
        <f t="shared" si="3"/>
        <v>59886.75</v>
      </c>
      <c r="S15" s="1059">
        <f t="shared" si="4"/>
        <v>53898.075000000004</v>
      </c>
      <c r="T15" s="1059">
        <v>35000</v>
      </c>
      <c r="U15" s="1721">
        <f t="shared" si="5"/>
        <v>-18898.075000000004</v>
      </c>
      <c r="W15" s="1729">
        <f t="shared" si="6"/>
        <v>-8424</v>
      </c>
      <c r="X15" s="1729">
        <f t="shared" si="0"/>
        <v>15840</v>
      </c>
      <c r="Y15" s="1729">
        <f t="shared" si="1"/>
        <v>8756</v>
      </c>
    </row>
    <row r="16" spans="1:27">
      <c r="A16" s="461" t="s">
        <v>7</v>
      </c>
      <c r="B16" s="435">
        <v>12000000</v>
      </c>
      <c r="C16" s="435">
        <v>13420000</v>
      </c>
      <c r="D16" s="641">
        <f>T12</f>
        <v>13500000</v>
      </c>
      <c r="F16">
        <f>'What If Data'!H34*0.72*208+0.72*448*'What If Data'!I34</f>
        <v>0</v>
      </c>
      <c r="G16">
        <f>0.72*(201*'What If Data'!J34+457*'What If Data'!K34)</f>
        <v>0</v>
      </c>
      <c r="I16" s="1054" t="s">
        <v>833</v>
      </c>
      <c r="J16" s="1055">
        <v>2022047</v>
      </c>
      <c r="K16" s="1055">
        <v>2195358</v>
      </c>
      <c r="L16" s="1055">
        <v>2500276</v>
      </c>
      <c r="M16" s="1055">
        <v>2855981</v>
      </c>
      <c r="N16" s="1718">
        <v>3630210</v>
      </c>
      <c r="O16" s="1616">
        <v>4127217</v>
      </c>
      <c r="P16" s="1055"/>
      <c r="Q16" s="1055">
        <f t="shared" si="2"/>
        <v>4809000</v>
      </c>
      <c r="R16" s="1202">
        <f t="shared" si="3"/>
        <v>4721235.75</v>
      </c>
      <c r="S16" s="1059">
        <f t="shared" si="4"/>
        <v>4249112.1749999998</v>
      </c>
      <c r="T16" s="1059">
        <v>3500864</v>
      </c>
      <c r="U16" s="1721">
        <f t="shared" si="5"/>
        <v>-748248.17499999981</v>
      </c>
      <c r="W16" s="1729">
        <f t="shared" si="6"/>
        <v>355705</v>
      </c>
      <c r="X16" s="1729">
        <f t="shared" si="0"/>
        <v>774229</v>
      </c>
      <c r="Y16" s="1729">
        <f t="shared" si="1"/>
        <v>497007</v>
      </c>
    </row>
    <row r="17" spans="1:29">
      <c r="A17" s="461" t="s">
        <v>9</v>
      </c>
      <c r="B17" s="435">
        <v>3000000</v>
      </c>
      <c r="C17" s="435">
        <v>3116000</v>
      </c>
      <c r="D17" s="641">
        <f>T16</f>
        <v>3500864</v>
      </c>
      <c r="F17">
        <f>'What If Data'!H35*0.72*208+0.72*448*'What If Data'!I35</f>
        <v>0</v>
      </c>
      <c r="G17">
        <f>0.72*(201*'What If Data'!J35+457*'What If Data'!K35)</f>
        <v>0</v>
      </c>
      <c r="I17" s="1054" t="s">
        <v>4</v>
      </c>
      <c r="J17" s="1055">
        <v>3505835</v>
      </c>
      <c r="K17" s="1055">
        <v>3680894</v>
      </c>
      <c r="L17" s="1055">
        <v>3914074</v>
      </c>
      <c r="M17" s="1055">
        <v>4448154</v>
      </c>
      <c r="N17" s="1718">
        <v>5082202</v>
      </c>
      <c r="O17" s="1616">
        <v>5934658</v>
      </c>
      <c r="P17" s="1055"/>
      <c r="Q17" s="1055">
        <f t="shared" si="2"/>
        <v>6642000</v>
      </c>
      <c r="R17" s="1202">
        <f t="shared" si="3"/>
        <v>6520783.5</v>
      </c>
      <c r="S17" s="1059">
        <f t="shared" si="4"/>
        <v>5868705.1500000004</v>
      </c>
      <c r="T17" s="1059">
        <v>5600000</v>
      </c>
      <c r="U17" s="1721">
        <f t="shared" si="5"/>
        <v>-268705.15000000037</v>
      </c>
      <c r="W17" s="1729">
        <f t="shared" si="6"/>
        <v>534080</v>
      </c>
      <c r="X17" s="1729">
        <f t="shared" si="0"/>
        <v>634048</v>
      </c>
      <c r="Y17" s="1729">
        <f t="shared" si="1"/>
        <v>852456</v>
      </c>
    </row>
    <row r="18" spans="1:29">
      <c r="A18" s="463" t="s">
        <v>5</v>
      </c>
      <c r="B18" s="435">
        <v>1200000</v>
      </c>
      <c r="C18" s="435">
        <v>1212000</v>
      </c>
      <c r="D18" s="641">
        <f>T10</f>
        <v>1500000</v>
      </c>
      <c r="F18">
        <f>'What If Data'!H36*0.72*208+0.72*448*'What If Data'!I36</f>
        <v>0</v>
      </c>
      <c r="G18">
        <f>0.72*(201*'What If Data'!J36+457*'What If Data'!K36)</f>
        <v>0</v>
      </c>
      <c r="I18" s="1054" t="s">
        <v>316</v>
      </c>
      <c r="J18" s="1055">
        <v>0</v>
      </c>
      <c r="K18" s="1055">
        <v>0</v>
      </c>
      <c r="L18" s="1055">
        <v>0</v>
      </c>
      <c r="M18" s="1055">
        <v>0</v>
      </c>
      <c r="N18" s="1718"/>
      <c r="O18" s="1616"/>
      <c r="P18" s="1055"/>
      <c r="Q18" s="1055">
        <v>0</v>
      </c>
      <c r="R18" s="1055">
        <v>0</v>
      </c>
      <c r="S18" s="1059"/>
      <c r="T18" s="1059">
        <v>0</v>
      </c>
    </row>
    <row r="19" spans="1:29">
      <c r="A19" s="461"/>
      <c r="B19" s="434"/>
      <c r="C19" s="434"/>
      <c r="D19" s="643"/>
      <c r="I19" s="1056" t="s">
        <v>834</v>
      </c>
      <c r="J19" s="1055">
        <v>53905</v>
      </c>
      <c r="K19" s="1055">
        <v>59385</v>
      </c>
      <c r="L19" s="1055">
        <v>83856</v>
      </c>
      <c r="M19" s="1055">
        <v>152748</v>
      </c>
      <c r="N19" s="1719">
        <v>246927</v>
      </c>
      <c r="O19" s="1616">
        <v>292502</v>
      </c>
      <c r="P19" s="1180"/>
      <c r="Q19" s="1055">
        <f>ROUND(TREND(M19:O19,R$5:T$5,U$5),-3)</f>
        <v>370000</v>
      </c>
      <c r="R19" s="1202">
        <f>0.98175*Q19</f>
        <v>363247.5</v>
      </c>
      <c r="S19" s="1059">
        <f>0.9*R19</f>
        <v>326922.75</v>
      </c>
      <c r="T19" s="1059">
        <v>237540</v>
      </c>
      <c r="U19" s="1721">
        <f>T19-S19</f>
        <v>-89382.75</v>
      </c>
      <c r="W19" s="1729">
        <f>M19-L19</f>
        <v>68892</v>
      </c>
      <c r="X19" s="1729">
        <f>N19-M19</f>
        <v>94179</v>
      </c>
      <c r="Y19" s="1729">
        <f>O19-N19</f>
        <v>45575</v>
      </c>
    </row>
    <row r="20" spans="1:29">
      <c r="A20" s="461" t="s">
        <v>516</v>
      </c>
      <c r="B20" s="435">
        <v>0</v>
      </c>
      <c r="C20" s="435"/>
      <c r="D20" s="641"/>
      <c r="I20" s="1056" t="s">
        <v>835</v>
      </c>
      <c r="J20" s="432">
        <v>0</v>
      </c>
      <c r="K20" s="1055">
        <v>0</v>
      </c>
      <c r="L20" s="432">
        <v>0</v>
      </c>
      <c r="M20" s="1055">
        <v>0</v>
      </c>
      <c r="N20" s="1719"/>
      <c r="O20" s="1617"/>
      <c r="P20" s="1180"/>
      <c r="Q20" s="1055">
        <v>0</v>
      </c>
      <c r="R20" s="1055">
        <v>0</v>
      </c>
      <c r="S20" s="1059"/>
      <c r="T20" s="1059"/>
    </row>
    <row r="21" spans="1:29">
      <c r="A21" s="461" t="s">
        <v>537</v>
      </c>
      <c r="B21" s="435">
        <v>0</v>
      </c>
      <c r="C21" s="435"/>
      <c r="D21" s="641"/>
      <c r="I21" s="1056" t="s">
        <v>836</v>
      </c>
      <c r="J21" s="432">
        <v>0</v>
      </c>
      <c r="K21" s="432">
        <v>0</v>
      </c>
      <c r="L21" s="432">
        <v>0</v>
      </c>
      <c r="M21" s="1055">
        <v>0</v>
      </c>
      <c r="N21" s="1719"/>
      <c r="O21" s="1617"/>
      <c r="P21" s="1180"/>
      <c r="Q21" s="1055">
        <v>0</v>
      </c>
      <c r="R21" s="1055">
        <v>0</v>
      </c>
      <c r="S21" s="1059"/>
      <c r="T21" s="1059"/>
    </row>
    <row r="22" spans="1:29">
      <c r="A22" s="463" t="s">
        <v>518</v>
      </c>
      <c r="B22" s="435">
        <v>0</v>
      </c>
      <c r="C22" s="435"/>
      <c r="D22" s="641">
        <f>T25</f>
        <v>13055</v>
      </c>
      <c r="F22">
        <f>'What If Data'!H40*0.72*208+0.72*448*'What If Data'!I40</f>
        <v>0</v>
      </c>
      <c r="G22">
        <f>0.72*(201*'What If Data'!J40+457*'What If Data'!K40)</f>
        <v>0</v>
      </c>
      <c r="I22" s="1054" t="s">
        <v>837</v>
      </c>
      <c r="J22" s="432">
        <v>0</v>
      </c>
      <c r="K22" s="432">
        <v>0</v>
      </c>
      <c r="L22" s="432">
        <v>0</v>
      </c>
      <c r="M22" s="1055">
        <v>0</v>
      </c>
      <c r="N22" s="1719"/>
      <c r="O22" s="1617"/>
      <c r="P22" s="1180"/>
      <c r="Q22" s="1055">
        <v>0</v>
      </c>
      <c r="R22" s="1055">
        <v>0</v>
      </c>
      <c r="S22" s="1059"/>
      <c r="T22" s="1059"/>
    </row>
    <row r="23" spans="1:29">
      <c r="A23" s="461" t="s">
        <v>536</v>
      </c>
      <c r="B23" s="435">
        <v>76687</v>
      </c>
      <c r="C23" s="435">
        <v>67000</v>
      </c>
      <c r="D23" s="641">
        <f>T24</f>
        <v>75669</v>
      </c>
      <c r="I23" s="1054" t="s">
        <v>838</v>
      </c>
      <c r="J23" s="432">
        <v>0</v>
      </c>
      <c r="K23" s="432">
        <v>0</v>
      </c>
      <c r="L23" s="432">
        <v>0</v>
      </c>
      <c r="M23" s="1055">
        <v>0</v>
      </c>
      <c r="N23" s="1719"/>
      <c r="O23" s="1617"/>
      <c r="P23" s="1180"/>
      <c r="Q23" s="1055">
        <v>0</v>
      </c>
      <c r="R23" s="1055">
        <v>0</v>
      </c>
      <c r="S23" s="1059"/>
      <c r="T23" s="1059"/>
    </row>
    <row r="24" spans="1:29">
      <c r="A24" s="467" t="s">
        <v>520</v>
      </c>
      <c r="B24" s="435">
        <v>0</v>
      </c>
      <c r="C24" s="435"/>
      <c r="D24" s="641"/>
      <c r="I24" s="1054" t="s">
        <v>474</v>
      </c>
      <c r="J24" s="432">
        <v>30130</v>
      </c>
      <c r="K24" s="432">
        <v>47612</v>
      </c>
      <c r="L24" s="432">
        <v>61056</v>
      </c>
      <c r="M24" s="1055">
        <v>62496</v>
      </c>
      <c r="N24" s="1719">
        <v>68590</v>
      </c>
      <c r="O24" s="1616">
        <f>77399+169773</f>
        <v>247172</v>
      </c>
      <c r="P24" s="1180"/>
      <c r="Q24" s="1055">
        <f>ROUND(TREND(M24:O24,R$5:T$5,U$5),-3)</f>
        <v>311000</v>
      </c>
      <c r="R24" s="1202">
        <f>0.98175*Q24</f>
        <v>305324.25</v>
      </c>
      <c r="S24" s="1059">
        <f>0.9*R24</f>
        <v>274791.82500000001</v>
      </c>
      <c r="T24" s="1059">
        <v>75669</v>
      </c>
      <c r="U24" s="1721">
        <f>T24-S24</f>
        <v>-199122.82500000001</v>
      </c>
    </row>
    <row r="25" spans="1:29">
      <c r="A25" s="468"/>
      <c r="B25" s="447">
        <f>SUM(B7:B24)</f>
        <v>45481187</v>
      </c>
      <c r="C25" s="447">
        <f>SUM(C7:C24)</f>
        <v>49413000</v>
      </c>
      <c r="D25" s="1185">
        <f>SUM(D7:D24)</f>
        <v>55578395</v>
      </c>
      <c r="I25" s="1054" t="s">
        <v>1116</v>
      </c>
      <c r="J25" s="432">
        <v>0</v>
      </c>
      <c r="K25" s="432">
        <v>0</v>
      </c>
      <c r="L25" s="432">
        <v>0</v>
      </c>
      <c r="M25" s="432">
        <v>0</v>
      </c>
      <c r="N25" s="505"/>
      <c r="O25" s="1618">
        <v>13623</v>
      </c>
      <c r="P25" s="432"/>
      <c r="Q25" s="1055">
        <v>15000</v>
      </c>
      <c r="R25" s="1202">
        <f>0.98175*Q25</f>
        <v>14726.25</v>
      </c>
      <c r="S25" s="1059">
        <f>0.9*R25</f>
        <v>13253.625</v>
      </c>
      <c r="T25" s="1059">
        <v>13055</v>
      </c>
      <c r="U25" s="1721">
        <f>T25-S25</f>
        <v>-198.625</v>
      </c>
    </row>
    <row r="26" spans="1:29">
      <c r="D26" s="346"/>
      <c r="I26" s="1054" t="s">
        <v>839</v>
      </c>
      <c r="J26" s="432">
        <v>0</v>
      </c>
      <c r="K26" s="432">
        <v>0</v>
      </c>
      <c r="L26" s="432">
        <v>0</v>
      </c>
      <c r="M26" s="432">
        <v>0</v>
      </c>
      <c r="N26" s="505"/>
      <c r="O26" s="1618"/>
      <c r="P26" s="432"/>
      <c r="Q26" s="432">
        <v>0</v>
      </c>
      <c r="R26" s="432">
        <v>0</v>
      </c>
      <c r="S26" s="1059"/>
      <c r="T26" s="1059"/>
    </row>
    <row r="27" spans="1:29">
      <c r="D27" s="1901"/>
      <c r="E27" s="435"/>
      <c r="I27" s="1057"/>
      <c r="J27" s="1055">
        <f t="shared" ref="J27:S27" si="7">SUM(J8:J26)</f>
        <v>27360295</v>
      </c>
      <c r="K27" s="1055">
        <f t="shared" si="7"/>
        <v>32487825</v>
      </c>
      <c r="L27" s="1055">
        <f t="shared" si="7"/>
        <v>37643708</v>
      </c>
      <c r="M27" s="1055">
        <f t="shared" si="7"/>
        <v>44096690</v>
      </c>
      <c r="N27" s="1718">
        <f>SUM(N8:N26)</f>
        <v>52786512</v>
      </c>
      <c r="O27" s="1616">
        <f>SUM(O8:O25)</f>
        <v>58785808</v>
      </c>
      <c r="P27" s="1055"/>
      <c r="Q27" s="1055">
        <f>SUM(Q8:Q26)</f>
        <v>65576000</v>
      </c>
      <c r="R27" s="1202">
        <f>SUM(R8:R26)</f>
        <v>64379238</v>
      </c>
      <c r="S27" s="1055">
        <f t="shared" si="7"/>
        <v>57941314.200000003</v>
      </c>
      <c r="T27" s="1055">
        <f>SUM(T8:T25)</f>
        <v>55578395</v>
      </c>
      <c r="U27" s="1055">
        <f>SUM(U8:U25)</f>
        <v>-2362919.1999999997</v>
      </c>
    </row>
    <row r="28" spans="1:29">
      <c r="D28" s="346"/>
      <c r="E28" s="435"/>
      <c r="I28" s="57"/>
      <c r="J28" s="57"/>
      <c r="K28" s="1058">
        <f>K27/J27</f>
        <v>1.1874077015616973</v>
      </c>
      <c r="L28" s="1058">
        <f>L27/K27</f>
        <v>1.158702006059193</v>
      </c>
      <c r="M28" s="1058">
        <f>M27/L27</f>
        <v>1.1714225920570842</v>
      </c>
      <c r="N28" s="1720">
        <f>N27/M27</f>
        <v>1.1970629088033591</v>
      </c>
      <c r="O28" s="1619"/>
      <c r="P28" s="1058"/>
      <c r="Q28" s="1059"/>
      <c r="R28" s="1059"/>
      <c r="S28" s="1059"/>
      <c r="T28" s="1059"/>
      <c r="AA28" s="148"/>
      <c r="AB28" s="148"/>
      <c r="AC28" s="148"/>
    </row>
    <row r="29" spans="1:29">
      <c r="A29" s="1442" t="s">
        <v>1226</v>
      </c>
      <c r="B29" s="1437"/>
      <c r="C29" s="1437">
        <v>5488858</v>
      </c>
      <c r="D29" s="1438">
        <f>T29</f>
        <v>8800843</v>
      </c>
      <c r="E29" s="435"/>
      <c r="I29" s="1442" t="s">
        <v>1226</v>
      </c>
      <c r="J29" s="14"/>
      <c r="K29" s="14"/>
      <c r="L29" s="14"/>
      <c r="M29" s="14"/>
      <c r="N29" s="14"/>
      <c r="O29" s="14"/>
      <c r="P29" s="14"/>
      <c r="Q29" s="14"/>
      <c r="R29" s="1724"/>
      <c r="S29" s="1725">
        <f>R27-S27</f>
        <v>6437923.799999997</v>
      </c>
      <c r="T29" s="1725">
        <f>R27-T27</f>
        <v>8800843</v>
      </c>
      <c r="X29" s="1055"/>
      <c r="Y29" s="1055"/>
      <c r="Z29" s="1055"/>
      <c r="AA29" s="1055"/>
      <c r="AB29" s="1718"/>
      <c r="AC29" s="1616"/>
    </row>
    <row r="30" spans="1:29">
      <c r="A30" s="57" t="s">
        <v>841</v>
      </c>
      <c r="B30" s="435"/>
      <c r="C30" s="435">
        <f>N30+N31</f>
        <v>0</v>
      </c>
      <c r="D30" s="641">
        <f>T30</f>
        <v>8693733.4800000004</v>
      </c>
      <c r="E30" s="435"/>
      <c r="I30" s="57" t="s">
        <v>841</v>
      </c>
      <c r="J30" s="57"/>
      <c r="K30" s="57"/>
      <c r="L30" s="57"/>
      <c r="M30" s="57"/>
      <c r="N30" s="57"/>
      <c r="O30" s="1055">
        <v>7939803</v>
      </c>
      <c r="P30" s="57"/>
      <c r="Q30" s="1055">
        <f>0.076*Q33</f>
        <v>8855323.3830845766</v>
      </c>
      <c r="R30" s="1055">
        <f>0.076*R34</f>
        <v>8693733.4800000004</v>
      </c>
      <c r="S30" s="1059">
        <f>R30</f>
        <v>8693733.4800000004</v>
      </c>
      <c r="T30" s="1059">
        <f>S30</f>
        <v>8693733.4800000004</v>
      </c>
    </row>
    <row r="31" spans="1:29">
      <c r="A31" s="57" t="s">
        <v>1224</v>
      </c>
      <c r="B31" s="435"/>
      <c r="C31" s="435">
        <v>23340948</v>
      </c>
      <c r="D31" s="641">
        <f>T31</f>
        <v>13864363.319999993</v>
      </c>
      <c r="E31" s="435"/>
      <c r="I31" s="57" t="s">
        <v>1224</v>
      </c>
      <c r="J31" s="57"/>
      <c r="K31" s="57"/>
      <c r="L31" s="57"/>
      <c r="M31" s="57"/>
      <c r="N31" s="57"/>
      <c r="O31" s="1055">
        <v>12663593</v>
      </c>
      <c r="P31" s="57"/>
      <c r="Q31" s="1055">
        <f>0.1212*Q33</f>
        <v>14121910.447761195</v>
      </c>
      <c r="R31" s="1055">
        <f>0.1212*R34</f>
        <v>13864217.075999999</v>
      </c>
      <c r="S31" s="1059">
        <f>R31</f>
        <v>13864217.075999999</v>
      </c>
      <c r="T31" s="1059">
        <f>114391230-T32-T30-T29-T27</f>
        <v>13864363.319999993</v>
      </c>
    </row>
    <row r="32" spans="1:29">
      <c r="A32" s="57" t="s">
        <v>1227</v>
      </c>
      <c r="B32" s="435"/>
      <c r="C32" s="435">
        <v>25196853</v>
      </c>
      <c r="D32" s="641">
        <f>T32</f>
        <v>27453895.199999999</v>
      </c>
      <c r="E32" s="438"/>
      <c r="I32" s="57" t="s">
        <v>842</v>
      </c>
      <c r="J32" s="57"/>
      <c r="K32" s="57"/>
      <c r="L32" s="57"/>
      <c r="M32" s="57"/>
      <c r="N32" s="57"/>
      <c r="O32" s="1055">
        <v>25070844</v>
      </c>
      <c r="P32" s="57"/>
      <c r="Q32" s="1055">
        <f>0.24*Q33</f>
        <v>27964179.10447761</v>
      </c>
      <c r="R32" s="1055">
        <f>0.24*R34</f>
        <v>27453895.199999999</v>
      </c>
      <c r="S32" s="1059">
        <f>R32</f>
        <v>27453895.199999999</v>
      </c>
      <c r="T32" s="1059">
        <f>S32</f>
        <v>27453895.199999999</v>
      </c>
    </row>
    <row r="33" spans="1:21">
      <c r="A33" s="57"/>
      <c r="B33" s="435"/>
      <c r="C33" s="435"/>
      <c r="D33" s="641"/>
      <c r="E33" s="435"/>
      <c r="I33" s="15" t="s">
        <v>843</v>
      </c>
      <c r="J33" s="15"/>
      <c r="K33" s="15"/>
      <c r="L33" s="15"/>
      <c r="M33" s="15"/>
      <c r="N33" s="15"/>
      <c r="O33" s="1443">
        <f>SUM(O27:O32)</f>
        <v>104460048</v>
      </c>
      <c r="P33" s="15"/>
      <c r="Q33" s="1443">
        <f>Q27/0.5628</f>
        <v>116517412.93532339</v>
      </c>
      <c r="R33" s="1726">
        <f>SUM(R27:R32)</f>
        <v>114391083.75600001</v>
      </c>
      <c r="S33" s="1726">
        <f>SUM(S27:S32)</f>
        <v>114391083.75600001</v>
      </c>
      <c r="T33" s="1726">
        <f>SUM(T27:T32)</f>
        <v>114391230</v>
      </c>
    </row>
    <row r="34" spans="1:21">
      <c r="A34" s="1439" t="s">
        <v>850</v>
      </c>
      <c r="B34" s="1440">
        <f>SUM(B25:B33)</f>
        <v>45481187</v>
      </c>
      <c r="C34" s="1440">
        <f>SUM(C25:C33)</f>
        <v>103439659</v>
      </c>
      <c r="D34" s="1441">
        <f>SUM(D25:D33)</f>
        <v>114391230</v>
      </c>
      <c r="E34" s="435"/>
      <c r="I34" s="57"/>
      <c r="J34" s="57"/>
      <c r="K34" s="57"/>
      <c r="L34" s="57"/>
      <c r="M34" s="57"/>
      <c r="N34" s="57"/>
      <c r="O34" s="57"/>
      <c r="P34" s="57"/>
      <c r="Q34" s="1055">
        <f>SUM(Q27:Q32)</f>
        <v>116517412.93532339</v>
      </c>
      <c r="R34" s="1055">
        <v>114391230</v>
      </c>
      <c r="S34" s="57"/>
    </row>
    <row r="35" spans="1:21">
      <c r="B35" s="435"/>
      <c r="C35" s="435"/>
      <c r="D35" s="435"/>
      <c r="E35" s="435"/>
      <c r="I35" s="57"/>
      <c r="J35" s="57"/>
      <c r="K35" s="57"/>
      <c r="L35" s="57"/>
      <c r="M35" s="57"/>
      <c r="N35" s="57"/>
      <c r="O35" s="57"/>
      <c r="P35" s="57"/>
      <c r="Q35" s="57"/>
      <c r="R35" s="1055">
        <v>113600000</v>
      </c>
      <c r="S35" s="57" t="s">
        <v>1976</v>
      </c>
      <c r="T35" s="57"/>
    </row>
    <row r="36" spans="1:21">
      <c r="A36" t="s">
        <v>851</v>
      </c>
      <c r="B36" s="435">
        <f>B31/B34</f>
        <v>0</v>
      </c>
      <c r="C36" s="435">
        <f>C31/C34</f>
        <v>0.22564795964766279</v>
      </c>
      <c r="D36" s="435"/>
      <c r="E36" s="435"/>
      <c r="I36" s="57"/>
      <c r="J36" s="57"/>
      <c r="K36" s="57"/>
      <c r="L36" s="57"/>
      <c r="M36" s="57" t="s">
        <v>844</v>
      </c>
      <c r="N36" s="57" t="s">
        <v>1681</v>
      </c>
      <c r="O36" s="57"/>
      <c r="P36" s="57"/>
      <c r="Q36" s="1059">
        <f>0.0779*Q40</f>
        <v>8911076.8169999998</v>
      </c>
      <c r="R36" s="1723">
        <f>+R34-R35</f>
        <v>791230</v>
      </c>
      <c r="S36" s="57"/>
      <c r="T36" s="57"/>
      <c r="U36" s="57"/>
    </row>
    <row r="37" spans="1:21">
      <c r="A37" t="s">
        <v>852</v>
      </c>
      <c r="B37" s="435">
        <f>B30/B34</f>
        <v>0</v>
      </c>
      <c r="C37" s="435">
        <f>C30/C34</f>
        <v>0</v>
      </c>
      <c r="D37" s="435"/>
      <c r="E37" s="435"/>
      <c r="M37" t="s">
        <v>845</v>
      </c>
      <c r="N37" t="s">
        <v>1682</v>
      </c>
      <c r="Q37" s="1721">
        <f>0.24*Q40</f>
        <v>27453895.199999999</v>
      </c>
    </row>
    <row r="38" spans="1:21">
      <c r="B38" s="435"/>
      <c r="C38" s="435"/>
      <c r="D38" s="435"/>
      <c r="M38" t="s">
        <v>1683</v>
      </c>
      <c r="N38" t="s">
        <v>1684</v>
      </c>
      <c r="Q38" s="1721">
        <f>0.076*Q40</f>
        <v>8693733.4800000004</v>
      </c>
      <c r="R38" s="1201"/>
    </row>
    <row r="39" spans="1:21">
      <c r="A39" s="182"/>
      <c r="B39" s="435"/>
      <c r="C39" s="435"/>
      <c r="D39" s="435"/>
      <c r="M39" t="s">
        <v>1685</v>
      </c>
      <c r="N39" s="1625">
        <v>0.56279999999999997</v>
      </c>
      <c r="Q39" s="1721">
        <f>0.6061*Q40</f>
        <v>69332524.502999991</v>
      </c>
      <c r="R39" s="983"/>
      <c r="S39" s="983"/>
    </row>
    <row r="40" spans="1:21">
      <c r="M40" t="s">
        <v>1686</v>
      </c>
      <c r="N40" s="1093">
        <v>0.1212</v>
      </c>
      <c r="Q40" s="1722">
        <v>114391230</v>
      </c>
    </row>
    <row r="41" spans="1:21">
      <c r="Q41" s="185">
        <f>SUM(Q36:Q39)</f>
        <v>114391229.99999999</v>
      </c>
    </row>
  </sheetData>
  <mergeCells count="1">
    <mergeCell ref="Q2:R2"/>
  </mergeCells>
  <pageMargins left="0.75" right="0.75" top="1" bottom="1" header="0.5" footer="0.5"/>
  <pageSetup orientation="portrait" horizontalDpi="4294967292" verticalDpi="429496729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D22" sqref="D22"/>
    </sheetView>
  </sheetViews>
  <sheetFormatPr defaultColWidth="11" defaultRowHeight="15.75"/>
  <cols>
    <col min="1" max="1" width="25" customWidth="1"/>
    <col min="3" max="4" width="11.5" customWidth="1"/>
    <col min="6" max="6" width="22.875" customWidth="1"/>
    <col min="7" max="7" width="10.875" customWidth="1"/>
    <col min="8" max="8" width="13.125" customWidth="1"/>
    <col min="9" max="9" width="13.625" bestFit="1" customWidth="1"/>
    <col min="11" max="11" width="14.625" customWidth="1"/>
    <col min="14" max="15" width="15.625" customWidth="1"/>
    <col min="16" max="17" width="13" bestFit="1" customWidth="1"/>
    <col min="18" max="18" width="11.375" bestFit="1" customWidth="1"/>
  </cols>
  <sheetData>
    <row r="1" spans="1:16">
      <c r="A1" s="10" t="s">
        <v>1688</v>
      </c>
    </row>
    <row r="2" spans="1:16">
      <c r="A2" t="s">
        <v>942</v>
      </c>
    </row>
    <row r="3" spans="1:16">
      <c r="A3" t="s">
        <v>943</v>
      </c>
    </row>
    <row r="4" spans="1:16">
      <c r="K4" s="211" t="s">
        <v>1229</v>
      </c>
      <c r="L4" s="211"/>
      <c r="M4" s="211"/>
      <c r="N4" s="211"/>
      <c r="O4" s="211"/>
    </row>
    <row r="5" spans="1:16" ht="16.5" thickBot="1">
      <c r="G5" s="57">
        <v>1</v>
      </c>
      <c r="H5" s="396">
        <v>2</v>
      </c>
      <c r="I5" s="57">
        <v>3</v>
      </c>
      <c r="J5" s="392">
        <v>4</v>
      </c>
    </row>
    <row r="6" spans="1:16">
      <c r="A6" s="458" t="s">
        <v>847</v>
      </c>
      <c r="B6" s="211"/>
      <c r="C6" s="211"/>
      <c r="D6" s="211"/>
      <c r="F6" s="1051" t="s">
        <v>830</v>
      </c>
      <c r="G6" s="1193" t="s">
        <v>1086</v>
      </c>
      <c r="H6" s="1193" t="s">
        <v>63</v>
      </c>
      <c r="I6" s="1193" t="s">
        <v>62</v>
      </c>
      <c r="J6" s="1193" t="s">
        <v>417</v>
      </c>
      <c r="K6" s="1193" t="s">
        <v>812</v>
      </c>
      <c r="L6" s="1193" t="s">
        <v>840</v>
      </c>
      <c r="M6" s="1193" t="s">
        <v>1655</v>
      </c>
      <c r="N6" t="s">
        <v>1576</v>
      </c>
      <c r="O6" t="s">
        <v>1577</v>
      </c>
      <c r="P6" t="s">
        <v>1657</v>
      </c>
    </row>
    <row r="7" spans="1:16" ht="25.5">
      <c r="A7" s="459"/>
      <c r="B7" s="460" t="s">
        <v>848</v>
      </c>
      <c r="C7" s="460" t="s">
        <v>849</v>
      </c>
      <c r="D7" s="460" t="s">
        <v>1605</v>
      </c>
      <c r="F7" s="1053"/>
    </row>
    <row r="8" spans="1:16">
      <c r="A8" s="461" t="s">
        <v>513</v>
      </c>
      <c r="B8" s="435">
        <v>410000</v>
      </c>
      <c r="C8" s="435">
        <f>M8</f>
        <v>508000</v>
      </c>
      <c r="D8" s="435">
        <f>P8</f>
        <v>483439.18604699132</v>
      </c>
      <c r="F8" s="1054" t="s">
        <v>513</v>
      </c>
      <c r="G8" s="1195">
        <v>367094</v>
      </c>
      <c r="H8" s="1195">
        <v>513583</v>
      </c>
      <c r="I8" s="1195">
        <v>491657</v>
      </c>
      <c r="J8" s="1195">
        <v>385849</v>
      </c>
      <c r="K8" s="1195">
        <v>559794</v>
      </c>
      <c r="L8" s="1195">
        <f>TREND(I8:K8,G$5:I$5,J$5)</f>
        <v>547237</v>
      </c>
      <c r="M8" s="1195">
        <v>508000</v>
      </c>
      <c r="N8" s="1195">
        <v>537154.65116332367</v>
      </c>
      <c r="O8" s="12">
        <v>483439.18604699132</v>
      </c>
      <c r="P8" s="12">
        <v>483439.18604699132</v>
      </c>
    </row>
    <row r="9" spans="1:16">
      <c r="A9" s="461" t="s">
        <v>6</v>
      </c>
      <c r="B9" s="435">
        <v>484282</v>
      </c>
      <c r="C9" s="435">
        <f>M9</f>
        <v>404000</v>
      </c>
      <c r="D9" s="435">
        <f>P9</f>
        <v>432548.91341036354</v>
      </c>
      <c r="F9" s="1054" t="s">
        <v>6</v>
      </c>
      <c r="G9" s="1195">
        <v>703640</v>
      </c>
      <c r="H9" s="1195">
        <v>843415</v>
      </c>
      <c r="I9" s="1195">
        <v>644344</v>
      </c>
      <c r="J9" s="1195">
        <v>667925</v>
      </c>
      <c r="K9" s="1195">
        <v>589485</v>
      </c>
      <c r="L9" s="1195">
        <f t="shared" ref="L9:L26" si="0">TREND(I9:K9,G$5:I$5,J$5)</f>
        <v>579059</v>
      </c>
      <c r="M9" s="1195">
        <v>404000</v>
      </c>
      <c r="N9" s="1195">
        <v>480609.90378929285</v>
      </c>
      <c r="O9" s="12">
        <v>432548.91341036354</v>
      </c>
      <c r="P9" s="12">
        <v>432548.91341036354</v>
      </c>
    </row>
    <row r="10" spans="1:16">
      <c r="A10" s="461" t="s">
        <v>8</v>
      </c>
      <c r="B10" s="435">
        <v>155548</v>
      </c>
      <c r="C10" s="435">
        <f>M11</f>
        <v>27000</v>
      </c>
      <c r="D10" s="435">
        <f>P11</f>
        <v>21152.089221793962</v>
      </c>
      <c r="F10" s="1054" t="s">
        <v>831</v>
      </c>
      <c r="G10" s="1195">
        <v>201196</v>
      </c>
      <c r="H10" s="1195">
        <v>233382</v>
      </c>
      <c r="I10" s="1195">
        <v>232658</v>
      </c>
      <c r="J10" s="1195">
        <v>185463</v>
      </c>
      <c r="K10" s="1195">
        <v>208710</v>
      </c>
      <c r="L10" s="1195">
        <f t="shared" si="0"/>
        <v>184995.66666666669</v>
      </c>
      <c r="M10" s="1195">
        <v>149000</v>
      </c>
      <c r="N10" s="1195">
        <v>119930.501754168</v>
      </c>
      <c r="O10" s="12">
        <v>107937.45157875121</v>
      </c>
      <c r="P10" s="12">
        <v>120000</v>
      </c>
    </row>
    <row r="11" spans="1:16">
      <c r="A11" s="463" t="s">
        <v>2</v>
      </c>
      <c r="B11" s="435">
        <v>100000</v>
      </c>
      <c r="C11" s="435">
        <f>M13</f>
        <v>12000</v>
      </c>
      <c r="D11" s="435">
        <f>P13</f>
        <v>12447.575782355198</v>
      </c>
      <c r="F11" s="1054" t="s">
        <v>8</v>
      </c>
      <c r="G11" s="1196">
        <v>255666</v>
      </c>
      <c r="H11" s="1196">
        <v>217718</v>
      </c>
      <c r="I11" s="1196">
        <v>223536</v>
      </c>
      <c r="J11" s="1196">
        <v>155548</v>
      </c>
      <c r="K11" s="1196">
        <v>99984</v>
      </c>
      <c r="L11" s="1195">
        <f t="shared" si="0"/>
        <v>36137.333333333372</v>
      </c>
      <c r="M11" s="1195">
        <v>27000</v>
      </c>
      <c r="N11" s="1195">
        <v>23502.321357548844</v>
      </c>
      <c r="O11" s="12">
        <v>21152.089221793962</v>
      </c>
      <c r="P11" s="12">
        <v>21152.089221793962</v>
      </c>
    </row>
    <row r="12" spans="1:16">
      <c r="A12" s="461" t="s">
        <v>10</v>
      </c>
      <c r="B12" s="435">
        <v>75000</v>
      </c>
      <c r="C12" s="435">
        <f>M15</f>
        <v>87000</v>
      </c>
      <c r="D12" s="435">
        <f>P15</f>
        <v>45000</v>
      </c>
      <c r="F12" s="1054" t="s">
        <v>7</v>
      </c>
      <c r="G12" s="1195">
        <v>818828</v>
      </c>
      <c r="H12" s="1195">
        <v>969148</v>
      </c>
      <c r="I12" s="1195">
        <v>986601</v>
      </c>
      <c r="J12" s="1195">
        <v>1166975</v>
      </c>
      <c r="K12" s="1195">
        <v>1617970</v>
      </c>
      <c r="L12" s="1195">
        <f t="shared" si="0"/>
        <v>1888551</v>
      </c>
      <c r="M12" s="1195">
        <v>1758000</v>
      </c>
      <c r="N12" s="1195">
        <v>2250215.2886007736</v>
      </c>
      <c r="O12" s="12">
        <v>2025193.7597406963</v>
      </c>
      <c r="P12" s="12">
        <v>1500000</v>
      </c>
    </row>
    <row r="13" spans="1:16">
      <c r="A13" s="461" t="s">
        <v>4</v>
      </c>
      <c r="B13" s="435">
        <v>2200000</v>
      </c>
      <c r="C13" s="435">
        <f>M17</f>
        <v>1680000</v>
      </c>
      <c r="D13" s="435">
        <f>P17</f>
        <v>1700000</v>
      </c>
      <c r="F13" s="1054" t="s">
        <v>832</v>
      </c>
      <c r="G13" s="1197">
        <v>160737</v>
      </c>
      <c r="H13" s="1197">
        <v>244908</v>
      </c>
      <c r="I13" s="1197">
        <v>185850</v>
      </c>
      <c r="J13" s="1197">
        <v>94860</v>
      </c>
      <c r="K13" s="1197">
        <v>95695</v>
      </c>
      <c r="L13" s="1195">
        <f t="shared" si="0"/>
        <v>35313.333333333343</v>
      </c>
      <c r="M13" s="1195">
        <v>12000</v>
      </c>
      <c r="N13" s="1195">
        <v>13830.639758172441</v>
      </c>
      <c r="O13" s="12">
        <v>12447.575782355198</v>
      </c>
      <c r="P13" s="12">
        <v>12447.575782355198</v>
      </c>
    </row>
    <row r="14" spans="1:16">
      <c r="A14" s="461" t="s">
        <v>14</v>
      </c>
      <c r="B14" s="435">
        <v>80000</v>
      </c>
      <c r="C14" s="435">
        <f>M19</f>
        <v>117000</v>
      </c>
      <c r="D14" s="435">
        <f>P19</f>
        <v>132957.19761718827</v>
      </c>
      <c r="F14" s="1054" t="s">
        <v>17</v>
      </c>
      <c r="G14" s="1195">
        <v>1399222</v>
      </c>
      <c r="H14" s="1195">
        <v>1414935</v>
      </c>
      <c r="I14" s="1195">
        <v>1218156</v>
      </c>
      <c r="J14" s="1195">
        <v>1125003</v>
      </c>
      <c r="K14" s="1195">
        <v>1059231</v>
      </c>
      <c r="L14" s="1195">
        <f t="shared" si="0"/>
        <v>975205</v>
      </c>
      <c r="M14" s="1195">
        <v>697000</v>
      </c>
      <c r="N14" s="1195">
        <v>775352.53625952092</v>
      </c>
      <c r="O14" s="12">
        <v>697817.28263356886</v>
      </c>
      <c r="P14" s="12">
        <v>775625</v>
      </c>
    </row>
    <row r="15" spans="1:16">
      <c r="A15" s="463" t="s">
        <v>17</v>
      </c>
      <c r="B15" s="435">
        <v>1125003</v>
      </c>
      <c r="C15" s="435">
        <f>M14</f>
        <v>697000</v>
      </c>
      <c r="D15" s="435">
        <f>P14</f>
        <v>775625</v>
      </c>
      <c r="F15" s="1054" t="s">
        <v>10</v>
      </c>
      <c r="G15" s="1196">
        <v>48715</v>
      </c>
      <c r="H15" s="1196">
        <v>64522</v>
      </c>
      <c r="I15" s="1196">
        <v>69667</v>
      </c>
      <c r="J15" s="1196">
        <v>75810</v>
      </c>
      <c r="K15" s="1196">
        <v>90516</v>
      </c>
      <c r="L15" s="1195">
        <f t="shared" si="0"/>
        <v>99513.333333333314</v>
      </c>
      <c r="M15" s="1195">
        <v>87000</v>
      </c>
      <c r="N15" s="1195">
        <v>124960.27767659184</v>
      </c>
      <c r="O15" s="12">
        <v>112464.24990893266</v>
      </c>
      <c r="P15" s="12">
        <v>45000</v>
      </c>
    </row>
    <row r="16" spans="1:16">
      <c r="A16" s="461" t="s">
        <v>316</v>
      </c>
      <c r="B16" s="435">
        <v>0</v>
      </c>
      <c r="C16" s="435">
        <f>M18</f>
        <v>0</v>
      </c>
      <c r="D16" s="435">
        <f>O18</f>
        <v>0</v>
      </c>
      <c r="F16" s="1054" t="s">
        <v>833</v>
      </c>
      <c r="G16" s="1195">
        <v>824767</v>
      </c>
      <c r="H16" s="1195">
        <v>950323</v>
      </c>
      <c r="I16" s="1195">
        <v>798222</v>
      </c>
      <c r="J16" s="1195">
        <v>746791</v>
      </c>
      <c r="K16" s="1195">
        <v>667750</v>
      </c>
      <c r="L16" s="1195">
        <f t="shared" si="0"/>
        <v>607115.66666666663</v>
      </c>
      <c r="M16" s="1195">
        <v>412000</v>
      </c>
      <c r="N16" s="1195">
        <v>402077.1443182216</v>
      </c>
      <c r="O16" s="12">
        <v>361869.42988639948</v>
      </c>
      <c r="P16" s="12">
        <v>361869.42988639948</v>
      </c>
    </row>
    <row r="17" spans="1:16">
      <c r="A17" s="461" t="s">
        <v>7</v>
      </c>
      <c r="B17" s="435">
        <v>1000000</v>
      </c>
      <c r="C17" s="435">
        <f>M12</f>
        <v>1758000</v>
      </c>
      <c r="D17" s="435">
        <f>P12</f>
        <v>1500000</v>
      </c>
      <c r="F17" s="1054" t="s">
        <v>4</v>
      </c>
      <c r="G17" s="1195">
        <v>2421210</v>
      </c>
      <c r="H17" s="1195">
        <v>2532539</v>
      </c>
      <c r="I17" s="1195">
        <v>2463900</v>
      </c>
      <c r="J17" s="1195">
        <v>2217904</v>
      </c>
      <c r="K17" s="1195">
        <v>2302578</v>
      </c>
      <c r="L17" s="1195">
        <f t="shared" si="0"/>
        <v>2166805.3333333335</v>
      </c>
      <c r="M17" s="1195">
        <v>1680000</v>
      </c>
      <c r="N17" s="1195">
        <v>1716776.6360334167</v>
      </c>
      <c r="O17" s="12">
        <v>1545098.9724300751</v>
      </c>
      <c r="P17" s="12">
        <v>1700000</v>
      </c>
    </row>
    <row r="18" spans="1:16">
      <c r="A18" s="461" t="s">
        <v>9</v>
      </c>
      <c r="B18" s="435">
        <v>707627</v>
      </c>
      <c r="C18" s="435">
        <f>M16</f>
        <v>412000</v>
      </c>
      <c r="D18" s="435">
        <f>P16</f>
        <v>361869.42988639948</v>
      </c>
      <c r="F18" s="1054" t="s">
        <v>316</v>
      </c>
      <c r="G18" s="1195">
        <v>0</v>
      </c>
      <c r="H18" s="1195">
        <v>0</v>
      </c>
      <c r="I18" s="1195">
        <v>0</v>
      </c>
      <c r="J18" s="1195">
        <v>0</v>
      </c>
      <c r="K18" s="1195">
        <v>0</v>
      </c>
      <c r="L18" s="1195">
        <f t="shared" si="0"/>
        <v>0</v>
      </c>
      <c r="M18" s="1195">
        <v>0</v>
      </c>
      <c r="N18" s="12">
        <v>0</v>
      </c>
      <c r="O18" s="12">
        <v>0</v>
      </c>
      <c r="P18" s="12">
        <v>0</v>
      </c>
    </row>
    <row r="19" spans="1:16">
      <c r="A19" s="463" t="s">
        <v>5</v>
      </c>
      <c r="B19" s="435">
        <v>133687</v>
      </c>
      <c r="C19" s="435">
        <f>M10</f>
        <v>149000</v>
      </c>
      <c r="D19" s="435">
        <f>P10</f>
        <v>120000</v>
      </c>
      <c r="F19" s="1056" t="s">
        <v>834</v>
      </c>
      <c r="G19" s="1195">
        <v>58958</v>
      </c>
      <c r="H19" s="1195">
        <v>103085</v>
      </c>
      <c r="I19" s="1195">
        <v>85733</v>
      </c>
      <c r="J19" s="1195">
        <v>84625</v>
      </c>
      <c r="K19" s="1195">
        <v>116559</v>
      </c>
      <c r="L19" s="1195">
        <f t="shared" si="0"/>
        <v>126465</v>
      </c>
      <c r="M19" s="1195">
        <v>117000</v>
      </c>
      <c r="N19" s="1195">
        <v>147730.21957465363</v>
      </c>
      <c r="O19" s="12">
        <v>132957.19761718827</v>
      </c>
      <c r="P19" s="12">
        <v>132957.19761718827</v>
      </c>
    </row>
    <row r="20" spans="1:16">
      <c r="A20" s="461"/>
      <c r="B20" s="434"/>
      <c r="C20" s="434"/>
      <c r="D20" s="434"/>
      <c r="F20" s="1056" t="s">
        <v>835</v>
      </c>
      <c r="G20" s="1196">
        <v>5280</v>
      </c>
      <c r="H20" s="1196">
        <v>26338</v>
      </c>
      <c r="I20" s="1196">
        <v>35408</v>
      </c>
      <c r="J20" s="1196">
        <v>53246</v>
      </c>
      <c r="K20" s="1196">
        <v>69373</v>
      </c>
      <c r="L20" s="1195">
        <f t="shared" si="0"/>
        <v>86640.666666666657</v>
      </c>
      <c r="M20" s="1195">
        <v>80000</v>
      </c>
      <c r="N20" s="1195">
        <v>74519.739372410419</v>
      </c>
      <c r="O20" s="12">
        <v>67067.765435169378</v>
      </c>
      <c r="P20" s="12">
        <v>67067.765435169378</v>
      </c>
    </row>
    <row r="21" spans="1:16">
      <c r="A21" s="461" t="s">
        <v>516</v>
      </c>
      <c r="B21" s="435"/>
      <c r="C21" s="435">
        <f>M21</f>
        <v>0</v>
      </c>
      <c r="D21" s="435">
        <f>N21</f>
        <v>0</v>
      </c>
      <c r="F21" s="1056" t="s">
        <v>836</v>
      </c>
      <c r="G21" s="1195">
        <v>0</v>
      </c>
      <c r="H21" s="1195">
        <v>0</v>
      </c>
      <c r="I21" s="1195">
        <v>0</v>
      </c>
      <c r="J21" s="1195">
        <v>0</v>
      </c>
      <c r="K21" s="1195">
        <v>0</v>
      </c>
      <c r="L21" s="1195">
        <f t="shared" si="0"/>
        <v>0</v>
      </c>
      <c r="M21" s="1195">
        <v>0</v>
      </c>
      <c r="N21" s="1195">
        <v>0</v>
      </c>
      <c r="O21" s="12">
        <v>0</v>
      </c>
      <c r="P21" s="12">
        <v>0</v>
      </c>
    </row>
    <row r="22" spans="1:16">
      <c r="A22" s="461" t="s">
        <v>537</v>
      </c>
      <c r="B22" s="435"/>
      <c r="C22" s="435">
        <f>M20</f>
        <v>80000</v>
      </c>
      <c r="D22" s="435">
        <f>P20</f>
        <v>67067.765435169378</v>
      </c>
      <c r="F22" s="1054" t="s">
        <v>837</v>
      </c>
      <c r="G22" s="1195">
        <v>0</v>
      </c>
      <c r="H22" s="1195">
        <v>0</v>
      </c>
      <c r="I22" s="1195">
        <v>0</v>
      </c>
      <c r="J22" s="1195">
        <v>0</v>
      </c>
      <c r="K22" s="1195">
        <v>0</v>
      </c>
      <c r="L22" s="1195">
        <f t="shared" si="0"/>
        <v>0</v>
      </c>
      <c r="M22" s="1195">
        <v>0</v>
      </c>
      <c r="N22" s="1195">
        <v>0</v>
      </c>
      <c r="O22" s="12">
        <v>0</v>
      </c>
      <c r="P22" s="12">
        <v>0</v>
      </c>
    </row>
    <row r="23" spans="1:16">
      <c r="A23" s="463" t="s">
        <v>518</v>
      </c>
      <c r="B23" s="435">
        <v>1037</v>
      </c>
      <c r="C23" s="435">
        <f>M25</f>
        <v>1000</v>
      </c>
      <c r="D23" s="435">
        <f>P25</f>
        <v>1615.0809980814672</v>
      </c>
      <c r="F23" s="1054" t="s">
        <v>838</v>
      </c>
      <c r="G23" s="1198">
        <v>0</v>
      </c>
      <c r="H23" s="1198">
        <v>0</v>
      </c>
      <c r="I23" s="1198">
        <v>0</v>
      </c>
      <c r="J23" s="1198">
        <v>0</v>
      </c>
      <c r="K23" s="1198">
        <v>0</v>
      </c>
      <c r="L23" s="1195">
        <f t="shared" si="0"/>
        <v>0</v>
      </c>
      <c r="M23" s="1195">
        <v>0</v>
      </c>
      <c r="N23" s="1195">
        <v>0</v>
      </c>
      <c r="O23" s="12">
        <v>0</v>
      </c>
      <c r="P23" s="12">
        <v>0</v>
      </c>
    </row>
    <row r="24" spans="1:16">
      <c r="A24" s="461" t="s">
        <v>536</v>
      </c>
      <c r="B24" s="435">
        <v>47000</v>
      </c>
      <c r="C24" s="435">
        <f>M24</f>
        <v>21000</v>
      </c>
      <c r="D24" s="435">
        <f>P24</f>
        <v>27582.233502516381</v>
      </c>
      <c r="F24" s="1054" t="s">
        <v>474</v>
      </c>
      <c r="G24" s="12">
        <v>82173</v>
      </c>
      <c r="H24" s="12">
        <v>62870</v>
      </c>
      <c r="I24" s="12">
        <v>73286</v>
      </c>
      <c r="J24" s="12">
        <v>52909</v>
      </c>
      <c r="K24" s="12">
        <v>49207</v>
      </c>
      <c r="L24" s="1195">
        <f t="shared" si="0"/>
        <v>34388.333333333328</v>
      </c>
      <c r="M24" s="1195">
        <v>21000</v>
      </c>
      <c r="N24" s="1195">
        <v>30646.926113907091</v>
      </c>
      <c r="O24" s="12">
        <v>27582.233502516381</v>
      </c>
      <c r="P24" s="12">
        <v>27582.233502516381</v>
      </c>
    </row>
    <row r="25" spans="1:16">
      <c r="A25" s="467" t="s">
        <v>520</v>
      </c>
      <c r="B25" s="435"/>
      <c r="C25" s="435">
        <f>M26</f>
        <v>160000</v>
      </c>
      <c r="D25" s="435">
        <f>P26</f>
        <v>122753.29593494974</v>
      </c>
      <c r="F25" s="1054" t="s">
        <v>1116</v>
      </c>
      <c r="G25" s="12">
        <v>7419</v>
      </c>
      <c r="H25" s="12">
        <v>1416</v>
      </c>
      <c r="I25" s="12">
        <v>1372</v>
      </c>
      <c r="J25" s="12">
        <v>1037</v>
      </c>
      <c r="K25" s="12">
        <v>1193</v>
      </c>
      <c r="L25" s="1195">
        <f t="shared" si="0"/>
        <v>1021.6666666666667</v>
      </c>
      <c r="M25" s="1195">
        <v>1000</v>
      </c>
      <c r="N25" s="1195">
        <v>1794.5344423127412</v>
      </c>
      <c r="O25" s="12">
        <v>1615.0809980814672</v>
      </c>
      <c r="P25" s="12">
        <v>1615.0809980814672</v>
      </c>
    </row>
    <row r="26" spans="1:16">
      <c r="A26" s="468"/>
      <c r="B26" s="447">
        <f>SUM(B8:B25)</f>
        <v>6519184</v>
      </c>
      <c r="C26" s="447">
        <f>SUM(C8:C25)</f>
        <v>6113000</v>
      </c>
      <c r="D26" s="1185">
        <f>SUM(D8:D25)</f>
        <v>5804057.7678358098</v>
      </c>
      <c r="F26" s="1054" t="s">
        <v>1223</v>
      </c>
      <c r="G26" s="12">
        <v>1320</v>
      </c>
      <c r="H26" s="12">
        <v>3682</v>
      </c>
      <c r="I26" s="12">
        <v>0</v>
      </c>
      <c r="J26" s="12">
        <v>58796</v>
      </c>
      <c r="K26" s="12">
        <v>104234</v>
      </c>
      <c r="L26" s="1195">
        <f t="shared" si="0"/>
        <v>158577.33333333334</v>
      </c>
      <c r="M26" s="1195">
        <v>160000</v>
      </c>
      <c r="N26" s="1195">
        <v>136392.55103883304</v>
      </c>
      <c r="O26" s="12">
        <v>122753.29593494974</v>
      </c>
      <c r="P26" s="12">
        <v>122753.29593494974</v>
      </c>
    </row>
    <row r="27" spans="1:16" ht="16.5" thickBot="1">
      <c r="F27" s="1199" t="s">
        <v>13</v>
      </c>
      <c r="G27" s="1200">
        <f t="shared" ref="G27:L27" si="1">SUM(G7:G26)</f>
        <v>7356225</v>
      </c>
      <c r="H27" s="1200">
        <f t="shared" si="1"/>
        <v>8181864</v>
      </c>
      <c r="I27" s="1200">
        <f t="shared" si="1"/>
        <v>7510390</v>
      </c>
      <c r="J27" s="1200">
        <f t="shared" si="1"/>
        <v>7072741</v>
      </c>
      <c r="K27" s="1200">
        <f t="shared" si="1"/>
        <v>7632279</v>
      </c>
      <c r="L27" s="1200">
        <f t="shared" si="1"/>
        <v>7527025.6666666679</v>
      </c>
      <c r="M27" s="1715">
        <v>6113000</v>
      </c>
      <c r="N27" s="1200">
        <f>SUM(N8:N26)</f>
        <v>6835493.8712531487</v>
      </c>
      <c r="O27" s="1200">
        <f>SUM(O8:O26)</f>
        <v>6151944.4841278344</v>
      </c>
      <c r="P27" s="1200">
        <f>SUM(P8:P26)</f>
        <v>5804057.7678358089</v>
      </c>
    </row>
    <row r="28" spans="1:16" ht="16.5" thickTop="1"/>
    <row r="29" spans="1:16">
      <c r="A29" s="1437"/>
      <c r="B29" s="564">
        <v>604124</v>
      </c>
      <c r="C29" s="564">
        <f>M29</f>
        <v>677078.28863333166</v>
      </c>
      <c r="D29" s="1437">
        <f>P29</f>
        <v>1083915.8321641907</v>
      </c>
      <c r="F29" s="1054" t="s">
        <v>1225</v>
      </c>
      <c r="M29">
        <v>677078.28863333166</v>
      </c>
      <c r="O29" s="12">
        <v>683549.38712531421</v>
      </c>
      <c r="P29" s="12">
        <f>P33-P31-P30-P27</f>
        <v>1083915.8321641907</v>
      </c>
    </row>
    <row r="30" spans="1:16">
      <c r="A30" s="435"/>
      <c r="B30" s="435">
        <v>3029623</v>
      </c>
      <c r="C30" s="435">
        <f>M30</f>
        <v>949070.5</v>
      </c>
      <c r="D30" s="641">
        <f>P30</f>
        <v>956663</v>
      </c>
      <c r="F30" s="57" t="s">
        <v>841</v>
      </c>
      <c r="M30">
        <v>949070.5</v>
      </c>
      <c r="N30" s="1195">
        <v>949374.14878515946</v>
      </c>
      <c r="O30" s="12">
        <v>949374.14878515946</v>
      </c>
      <c r="P30" s="12">
        <f>0.1*P33</f>
        <v>956663</v>
      </c>
    </row>
    <row r="31" spans="1:16">
      <c r="A31" s="435"/>
      <c r="B31" s="57"/>
      <c r="C31" s="435">
        <f>M31</f>
        <v>1751556.2113666683</v>
      </c>
      <c r="D31" s="641">
        <f>P31</f>
        <v>1721993.4</v>
      </c>
      <c r="F31" s="57" t="s">
        <v>1224</v>
      </c>
      <c r="M31">
        <v>1751556.2113666683</v>
      </c>
      <c r="N31" s="1195">
        <v>1708873.4678132869</v>
      </c>
      <c r="O31" s="12">
        <v>1708873.4678132869</v>
      </c>
      <c r="P31" s="12">
        <f>0.18*P33</f>
        <v>1721993.4</v>
      </c>
    </row>
    <row r="32" spans="1:16">
      <c r="A32" s="435"/>
      <c r="B32" s="435"/>
      <c r="C32" s="435"/>
      <c r="D32" s="435"/>
      <c r="F32" s="57" t="s">
        <v>842</v>
      </c>
      <c r="N32" s="12"/>
      <c r="O32" s="12"/>
      <c r="P32" s="12"/>
    </row>
    <row r="33" spans="1:16">
      <c r="A33" s="1440"/>
      <c r="B33" s="1440">
        <f>SUM(B26:B32)</f>
        <v>10152931</v>
      </c>
      <c r="C33" s="1440">
        <f>SUM(C26:C32)</f>
        <v>9490705</v>
      </c>
      <c r="D33" s="1440">
        <f>SUM(D26:D32)</f>
        <v>9566630</v>
      </c>
      <c r="F33" s="57" t="s">
        <v>843</v>
      </c>
      <c r="M33">
        <v>9490705</v>
      </c>
      <c r="N33" s="12">
        <f>SUM(N27:N31)</f>
        <v>9493741.4878515955</v>
      </c>
      <c r="O33" s="12">
        <f>SUM(O27:O31)</f>
        <v>9493741.4878515955</v>
      </c>
      <c r="P33" s="12">
        <f>9566630</f>
        <v>9566630</v>
      </c>
    </row>
    <row r="34" spans="1:16">
      <c r="A34" s="435"/>
      <c r="B34" s="435"/>
      <c r="C34" s="435"/>
      <c r="D34" s="435"/>
      <c r="P34" s="12">
        <f>SUM(P27:P31)</f>
        <v>9566630</v>
      </c>
    </row>
    <row r="35" spans="1:16">
      <c r="A35" s="435"/>
      <c r="B35" s="435"/>
      <c r="C35" s="435"/>
      <c r="D35" s="435"/>
    </row>
    <row r="36" spans="1:16">
      <c r="A36" s="435"/>
      <c r="B36" s="435"/>
      <c r="C36" s="435"/>
      <c r="D36" s="435"/>
    </row>
    <row r="37" spans="1:16">
      <c r="A37" s="435"/>
      <c r="B37" s="435"/>
      <c r="C37" s="435"/>
      <c r="D37" s="435"/>
    </row>
    <row r="38" spans="1:16">
      <c r="A38" s="435"/>
      <c r="B38" s="435"/>
      <c r="C38" s="435"/>
      <c r="D38" s="43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822"/>
  <sheetViews>
    <sheetView workbookViewId="0">
      <selection activeCell="D9" sqref="D9"/>
    </sheetView>
  </sheetViews>
  <sheetFormatPr defaultColWidth="11" defaultRowHeight="15.75"/>
  <cols>
    <col min="1" max="1" width="25" customWidth="1"/>
    <col min="6" max="6" width="18.875" customWidth="1"/>
    <col min="17" max="17" width="18.375" customWidth="1"/>
    <col min="27" max="27" width="19" customWidth="1"/>
  </cols>
  <sheetData>
    <row r="1" spans="1:27">
      <c r="A1" s="10" t="s">
        <v>576</v>
      </c>
      <c r="E1" s="42"/>
      <c r="K1" s="932" t="s">
        <v>774</v>
      </c>
      <c r="L1" s="42"/>
      <c r="M1" s="42"/>
      <c r="O1" s="42"/>
      <c r="P1" s="42"/>
    </row>
    <row r="2" spans="1:27" ht="16.5" thickBot="1">
      <c r="A2" s="10"/>
      <c r="E2" s="42"/>
      <c r="J2" s="314"/>
      <c r="K2" t="s">
        <v>806</v>
      </c>
      <c r="P2" s="42"/>
    </row>
    <row r="3" spans="1:27">
      <c r="A3" s="541" t="s">
        <v>290</v>
      </c>
      <c r="B3" s="542"/>
      <c r="C3" s="542"/>
      <c r="D3" s="543"/>
      <c r="E3" s="544"/>
      <c r="F3" s="148"/>
      <c r="G3" s="594" t="s">
        <v>613</v>
      </c>
      <c r="H3" s="390"/>
      <c r="I3" s="390"/>
      <c r="J3" s="933"/>
      <c r="K3" s="936"/>
      <c r="L3" s="390"/>
      <c r="M3" s="390"/>
      <c r="N3" s="391"/>
      <c r="Q3" t="s">
        <v>758</v>
      </c>
      <c r="T3" s="830">
        <f>(0.58*K35+0.83*K60+K83)/(K83+K60+K35)</f>
        <v>0.79065039401189707</v>
      </c>
    </row>
    <row r="4" spans="1:27">
      <c r="A4" s="425" t="s">
        <v>801</v>
      </c>
      <c r="B4" s="552" t="s">
        <v>577</v>
      </c>
      <c r="C4" s="552"/>
      <c r="D4" s="540"/>
      <c r="E4" s="545">
        <f>1-E3</f>
        <v>1</v>
      </c>
      <c r="F4" s="148"/>
      <c r="G4" s="595" t="s">
        <v>580</v>
      </c>
      <c r="H4" s="57"/>
      <c r="I4" s="57"/>
      <c r="J4" s="934">
        <f>'Dashboard-Academic Allocation'!B36</f>
        <v>0.3</v>
      </c>
      <c r="K4" s="937">
        <f>M83</f>
        <v>1955.5</v>
      </c>
      <c r="L4" s="852">
        <f>K4/K$9</f>
        <v>0.26251540457308858</v>
      </c>
      <c r="M4" s="435">
        <f>L4*D$9</f>
        <v>1671536.1233001605</v>
      </c>
      <c r="N4" s="938">
        <f>M4/((R83+S83+T83)/3)</f>
        <v>817.77696834645815</v>
      </c>
      <c r="O4" s="16"/>
      <c r="Q4" t="s">
        <v>759</v>
      </c>
      <c r="T4" s="627">
        <f>1-T3</f>
        <v>0.20934960598810293</v>
      </c>
    </row>
    <row r="5" spans="1:27" ht="16.5" thickBot="1">
      <c r="A5" s="491"/>
      <c r="B5" s="492"/>
      <c r="C5" s="492"/>
      <c r="D5" s="493"/>
      <c r="E5" s="494"/>
      <c r="F5" s="148"/>
      <c r="G5" s="595" t="s">
        <v>288</v>
      </c>
      <c r="H5" s="57"/>
      <c r="I5" s="57"/>
      <c r="J5" s="934">
        <f>'Dashboard-Academic Allocation'!B34</f>
        <v>1.4</v>
      </c>
      <c r="K5" s="937">
        <f>M60</f>
        <v>2514.586666666667</v>
      </c>
      <c r="L5" s="852">
        <f>K5/K$9</f>
        <v>0.33756979602868542</v>
      </c>
      <c r="M5" s="435">
        <f>L5*D$9</f>
        <v>2149436.1792392088</v>
      </c>
      <c r="N5" s="938">
        <f>M5/((R60+S60+T60)/3)</f>
        <v>5006.4507280416356</v>
      </c>
      <c r="O5" s="853"/>
      <c r="P5" s="148"/>
    </row>
    <row r="6" spans="1:27">
      <c r="E6" s="42"/>
      <c r="G6" s="595" t="s">
        <v>578</v>
      </c>
      <c r="H6" s="57"/>
      <c r="I6" s="57"/>
      <c r="J6" s="934">
        <f>'Dashboard-Academic Allocation'!B35</f>
        <v>1.2</v>
      </c>
      <c r="K6" s="937">
        <f>M35</f>
        <v>2979</v>
      </c>
      <c r="L6" s="852">
        <f>K6/K$9</f>
        <v>0.399914799398226</v>
      </c>
      <c r="M6" s="435">
        <f>L6*D$9</f>
        <v>2546410.6935879202</v>
      </c>
      <c r="N6" s="938">
        <f>M6/((R35+S35+T35)/3)</f>
        <v>5958.839376570796</v>
      </c>
      <c r="S6" s="42"/>
    </row>
    <row r="7" spans="1:27">
      <c r="G7" s="595"/>
      <c r="H7" s="57"/>
      <c r="I7" s="57"/>
      <c r="J7" s="934"/>
      <c r="K7" s="937"/>
      <c r="L7" s="852"/>
      <c r="M7" s="435"/>
      <c r="N7" s="938"/>
      <c r="Q7" s="10"/>
    </row>
    <row r="8" spans="1:27" ht="16.5" thickBot="1">
      <c r="E8" s="42"/>
      <c r="G8" s="596"/>
      <c r="H8" s="396"/>
      <c r="I8" s="396"/>
      <c r="J8" s="935"/>
      <c r="K8" s="937"/>
      <c r="L8" s="852"/>
      <c r="M8" s="435"/>
      <c r="N8" s="938"/>
      <c r="U8" s="454"/>
      <c r="V8" s="454"/>
      <c r="W8" s="454"/>
      <c r="X8" s="454"/>
      <c r="Y8" s="454"/>
    </row>
    <row r="9" spans="1:27" ht="16.5" thickBot="1">
      <c r="A9" s="477" t="s">
        <v>612</v>
      </c>
      <c r="B9" s="478"/>
      <c r="C9" s="478"/>
      <c r="D9" s="909">
        <f>'Dashboard-Academic Allocation'!D33</f>
        <v>6367382.9961272897</v>
      </c>
      <c r="E9" s="42"/>
      <c r="K9" s="939">
        <f>K3+K4+K5+K6+K7+K8</f>
        <v>7449.086666666667</v>
      </c>
      <c r="L9" s="940">
        <f>L3+L4+L5+L6+L7+L8</f>
        <v>1</v>
      </c>
      <c r="M9" s="941">
        <f>M3+M4+M5+M6+M7+M8</f>
        <v>6367382.9961272888</v>
      </c>
      <c r="N9" s="942"/>
      <c r="O9" s="16"/>
      <c r="Q9" s="432"/>
      <c r="R9" s="455"/>
      <c r="S9" s="455"/>
    </row>
    <row r="10" spans="1:27">
      <c r="E10" s="42"/>
      <c r="L10" s="42"/>
      <c r="M10" s="42"/>
      <c r="Q10" s="434"/>
      <c r="R10" s="148"/>
      <c r="S10" s="148"/>
      <c r="T10" s="148"/>
      <c r="U10" s="148"/>
      <c r="V10" s="148"/>
      <c r="W10" s="148"/>
      <c r="X10" s="148"/>
      <c r="Y10" s="148"/>
    </row>
    <row r="11" spans="1:27">
      <c r="E11" s="42"/>
      <c r="L11" s="42"/>
      <c r="M11" s="42"/>
      <c r="Q11" s="434"/>
      <c r="R11" s="435"/>
      <c r="S11" s="435"/>
      <c r="T11" s="435"/>
      <c r="U11" s="435"/>
      <c r="V11" s="435"/>
      <c r="W11" s="435"/>
      <c r="X11" s="435"/>
      <c r="Y11" s="435"/>
    </row>
    <row r="12" spans="1:27">
      <c r="E12" s="42"/>
      <c r="L12" s="42"/>
      <c r="M12" s="42"/>
      <c r="Q12" s="434"/>
      <c r="R12" s="434"/>
      <c r="S12" s="434"/>
      <c r="T12" s="434"/>
      <c r="U12" s="434"/>
      <c r="V12" s="434"/>
      <c r="W12" s="434"/>
      <c r="X12" s="434"/>
      <c r="Y12" s="434"/>
    </row>
    <row r="13" spans="1:27">
      <c r="E13" s="42"/>
      <c r="L13" s="42"/>
      <c r="M13" s="42"/>
    </row>
    <row r="14" spans="1:27">
      <c r="E14" s="42"/>
      <c r="L14" s="42"/>
      <c r="M14" s="42"/>
      <c r="O14" s="386" t="s">
        <v>572</v>
      </c>
      <c r="Q14" s="148"/>
      <c r="R14" s="497"/>
      <c r="S14" s="497"/>
      <c r="T14" s="497"/>
      <c r="U14" s="497"/>
      <c r="V14" s="497"/>
      <c r="W14" s="497"/>
      <c r="X14" s="497"/>
      <c r="Y14" s="497"/>
    </row>
    <row r="15" spans="1:27">
      <c r="A15" s="458" t="s">
        <v>556</v>
      </c>
      <c r="B15" s="211"/>
      <c r="C15" s="211"/>
      <c r="D15" s="211"/>
      <c r="E15" s="42"/>
      <c r="F15" s="458" t="s">
        <v>615</v>
      </c>
      <c r="G15" s="458"/>
      <c r="H15" s="458"/>
      <c r="I15" s="458"/>
      <c r="J15" s="533"/>
      <c r="K15" s="458" t="s">
        <v>805</v>
      </c>
      <c r="L15" s="458"/>
      <c r="M15" s="458"/>
      <c r="Q15" s="549" t="s">
        <v>578</v>
      </c>
      <c r="R15" s="440"/>
      <c r="S15" s="440"/>
      <c r="T15" s="440"/>
      <c r="U15" s="546"/>
      <c r="V15" s="546"/>
      <c r="W15" s="546"/>
      <c r="X15" s="546"/>
      <c r="Y15" s="546"/>
    </row>
    <row r="16" spans="1:27" ht="25.5">
      <c r="A16" s="459"/>
      <c r="B16" s="460" t="s">
        <v>802</v>
      </c>
      <c r="C16" s="460" t="s">
        <v>878</v>
      </c>
      <c r="D16" s="460" t="s">
        <v>1597</v>
      </c>
      <c r="E16" s="476"/>
      <c r="F16" s="459"/>
      <c r="G16" s="460" t="s">
        <v>796</v>
      </c>
      <c r="H16" s="460" t="s">
        <v>880</v>
      </c>
      <c r="I16" s="460" t="s">
        <v>1598</v>
      </c>
      <c r="J16" s="538"/>
      <c r="K16" s="460" t="s">
        <v>879</v>
      </c>
      <c r="L16" s="460" t="s">
        <v>1689</v>
      </c>
      <c r="M16" s="460" t="s">
        <v>1593</v>
      </c>
      <c r="O16" s="42"/>
      <c r="Q16" s="1730"/>
      <c r="R16" s="1731" t="s">
        <v>507</v>
      </c>
      <c r="S16" s="1731" t="s">
        <v>508</v>
      </c>
      <c r="T16" s="1732" t="s">
        <v>509</v>
      </c>
      <c r="U16" s="1731" t="s">
        <v>821</v>
      </c>
      <c r="V16" s="1731" t="s">
        <v>962</v>
      </c>
      <c r="W16" s="1731" t="s">
        <v>1473</v>
      </c>
      <c r="X16" s="1731" t="s">
        <v>1574</v>
      </c>
      <c r="Y16" s="1731" t="s">
        <v>1183</v>
      </c>
      <c r="AA16" t="s">
        <v>614</v>
      </c>
    </row>
    <row r="17" spans="1:31">
      <c r="A17" s="461" t="s">
        <v>513</v>
      </c>
      <c r="B17" s="435">
        <f>B42*D$9</f>
        <v>510650.14354374091</v>
      </c>
      <c r="C17" s="435">
        <f>C42*D$9</f>
        <v>446079.66964756063</v>
      </c>
      <c r="D17" s="435">
        <f>D42*D$9</f>
        <v>428846.67504970118</v>
      </c>
      <c r="E17" s="42"/>
      <c r="F17" s="461" t="s">
        <v>513</v>
      </c>
      <c r="G17" s="435">
        <f t="shared" ref="G17:G28" si="0">K17+K42+K65</f>
        <v>511.5</v>
      </c>
      <c r="H17" s="435">
        <f t="shared" ref="H17:H28" si="1">L17+L42+L65</f>
        <v>491</v>
      </c>
      <c r="I17" s="435">
        <f t="shared" ref="I17:I28" si="2">M17+M42+M65</f>
        <v>501.69999999999993</v>
      </c>
      <c r="J17" s="186"/>
      <c r="K17" s="435">
        <f>O17*(U17+V17+T17)</f>
        <v>100.8</v>
      </c>
      <c r="L17" s="462">
        <f>O17*(W17+U17+V17)</f>
        <v>100.8</v>
      </c>
      <c r="M17" s="435">
        <f>O17*(V17+W17+X17+Y17)</f>
        <v>108</v>
      </c>
      <c r="O17" s="504">
        <f>J6</f>
        <v>1.2</v>
      </c>
      <c r="Q17" s="461" t="s">
        <v>513</v>
      </c>
      <c r="R17" s="516">
        <v>25</v>
      </c>
      <c r="S17" s="516">
        <v>24</v>
      </c>
      <c r="T17" s="516">
        <v>22</v>
      </c>
      <c r="U17" s="516">
        <v>24</v>
      </c>
      <c r="V17" s="1526">
        <v>38</v>
      </c>
      <c r="W17" s="1526">
        <v>22</v>
      </c>
      <c r="X17" s="997">
        <v>30</v>
      </c>
      <c r="Y17" s="1001">
        <f>3*'What If Data'!Q25</f>
        <v>0</v>
      </c>
      <c r="AA17" s="591">
        <v>1</v>
      </c>
      <c r="AB17" s="558">
        <v>2</v>
      </c>
      <c r="AC17" s="558">
        <v>3</v>
      </c>
      <c r="AD17" s="558">
        <v>4</v>
      </c>
      <c r="AE17" s="592"/>
    </row>
    <row r="18" spans="1:31">
      <c r="A18" s="461" t="s">
        <v>6</v>
      </c>
      <c r="B18" s="435">
        <f t="shared" ref="B18:B28" si="3">B43*D$9</f>
        <v>1034278.687607655</v>
      </c>
      <c r="C18" s="435">
        <f t="shared" ref="C18:C28" si="4">C43*D$9</f>
        <v>1059598.2051119141</v>
      </c>
      <c r="D18" s="435">
        <f t="shared" ref="D18:D28" si="5">D43*D$9</f>
        <v>1048481.8250268355</v>
      </c>
      <c r="E18" s="42"/>
      <c r="F18" s="461" t="s">
        <v>6</v>
      </c>
      <c r="G18" s="435">
        <f t="shared" si="0"/>
        <v>1036</v>
      </c>
      <c r="H18" s="435">
        <f t="shared" si="1"/>
        <v>1166.3</v>
      </c>
      <c r="I18" s="435">
        <f t="shared" si="2"/>
        <v>1226.5999999999999</v>
      </c>
      <c r="J18" s="186"/>
      <c r="K18" s="435">
        <f t="shared" ref="K18:K28" si="6">O18*(U18+V18+T18)</f>
        <v>597.6</v>
      </c>
      <c r="L18" s="462">
        <f t="shared" ref="L18:L28" si="7">O18*(W18+U18+V18)</f>
        <v>670.8</v>
      </c>
      <c r="M18" s="435">
        <f t="shared" ref="M18:M28" si="8">O18*(V18+W18+X18+Y18)</f>
        <v>729.6</v>
      </c>
      <c r="O18" s="504">
        <f>O17</f>
        <v>1.2</v>
      </c>
      <c r="Q18" s="461" t="s">
        <v>6</v>
      </c>
      <c r="R18" s="516">
        <v>64</v>
      </c>
      <c r="S18" s="516">
        <v>125</v>
      </c>
      <c r="T18" s="516">
        <v>145</v>
      </c>
      <c r="U18" s="516">
        <v>161</v>
      </c>
      <c r="V18" s="1526">
        <v>192</v>
      </c>
      <c r="W18" s="1526">
        <v>206</v>
      </c>
      <c r="X18" s="997">
        <v>210</v>
      </c>
      <c r="Y18" s="1001">
        <f>3*'What If Data'!Q26</f>
        <v>0</v>
      </c>
      <c r="AA18" s="593"/>
      <c r="AB18" s="15"/>
      <c r="AC18" s="15"/>
      <c r="AD18" s="15"/>
      <c r="AE18" s="339"/>
    </row>
    <row r="19" spans="1:31">
      <c r="A19" s="461" t="s">
        <v>8</v>
      </c>
      <c r="B19" s="435">
        <f t="shared" si="3"/>
        <v>97737.339301920292</v>
      </c>
      <c r="C19" s="435">
        <f t="shared" si="4"/>
        <v>95484.670631280271</v>
      </c>
      <c r="D19" s="435">
        <f t="shared" si="5"/>
        <v>94881.365219288084</v>
      </c>
      <c r="E19" s="42"/>
      <c r="F19" s="461" t="s">
        <v>8</v>
      </c>
      <c r="G19" s="435">
        <f t="shared" si="0"/>
        <v>97.899999999999991</v>
      </c>
      <c r="H19" s="435">
        <f t="shared" si="1"/>
        <v>105.1</v>
      </c>
      <c r="I19" s="435">
        <f t="shared" si="2"/>
        <v>111</v>
      </c>
      <c r="J19" s="186"/>
      <c r="K19" s="435">
        <f t="shared" si="6"/>
        <v>2.4</v>
      </c>
      <c r="L19" s="462">
        <f t="shared" si="7"/>
        <v>3.5999999999999996</v>
      </c>
      <c r="M19" s="435">
        <f t="shared" si="8"/>
        <v>3.5999999999999996</v>
      </c>
      <c r="O19" s="504">
        <f t="shared" ref="O19:O28" si="9">O18</f>
        <v>1.2</v>
      </c>
      <c r="Q19" s="461" t="s">
        <v>8</v>
      </c>
      <c r="R19" s="505">
        <v>2</v>
      </c>
      <c r="S19" s="505">
        <v>2</v>
      </c>
      <c r="T19" s="505">
        <v>1</v>
      </c>
      <c r="U19" s="508">
        <v>1</v>
      </c>
      <c r="V19" s="1527">
        <v>0</v>
      </c>
      <c r="W19" s="1527">
        <v>2</v>
      </c>
      <c r="X19" s="998">
        <v>1</v>
      </c>
      <c r="Y19" s="1001">
        <f>3*'What If Data'!Q27</f>
        <v>0</v>
      </c>
      <c r="AB19" s="455">
        <f>V18-U18</f>
        <v>31</v>
      </c>
      <c r="AD19" s="455">
        <f>W18-V18</f>
        <v>14</v>
      </c>
    </row>
    <row r="20" spans="1:31">
      <c r="A20" s="463" t="s">
        <v>2</v>
      </c>
      <c r="B20" s="435">
        <f t="shared" si="3"/>
        <v>150050.27678323412</v>
      </c>
      <c r="C20" s="435">
        <f t="shared" si="4"/>
        <v>152902.66476921475</v>
      </c>
      <c r="D20" s="435">
        <f t="shared" si="5"/>
        <v>144031.62197702742</v>
      </c>
      <c r="E20" s="42"/>
      <c r="F20" s="463" t="s">
        <v>2</v>
      </c>
      <c r="G20" s="435">
        <f t="shared" si="0"/>
        <v>150.30000000000001</v>
      </c>
      <c r="H20" s="435">
        <f t="shared" si="1"/>
        <v>168.3</v>
      </c>
      <c r="I20" s="435">
        <f t="shared" si="2"/>
        <v>168.5</v>
      </c>
      <c r="J20" s="186"/>
      <c r="K20" s="435">
        <f t="shared" si="6"/>
        <v>26.4</v>
      </c>
      <c r="L20" s="462">
        <f t="shared" si="7"/>
        <v>36</v>
      </c>
      <c r="M20" s="435">
        <f t="shared" si="8"/>
        <v>36</v>
      </c>
      <c r="O20" s="504">
        <f t="shared" si="9"/>
        <v>1.2</v>
      </c>
      <c r="Q20" s="463" t="s">
        <v>2</v>
      </c>
      <c r="R20" s="443">
        <v>5</v>
      </c>
      <c r="S20" s="443">
        <v>5</v>
      </c>
      <c r="T20" s="443">
        <v>5</v>
      </c>
      <c r="U20" s="443">
        <v>10</v>
      </c>
      <c r="V20" s="1528">
        <v>7</v>
      </c>
      <c r="W20" s="1528">
        <v>13</v>
      </c>
      <c r="X20" s="1002">
        <v>10</v>
      </c>
      <c r="Y20" s="1001">
        <f>3*'What If Data'!Q28</f>
        <v>0</v>
      </c>
    </row>
    <row r="21" spans="1:31">
      <c r="A21" s="461" t="s">
        <v>10</v>
      </c>
      <c r="B21" s="435">
        <f t="shared" si="3"/>
        <v>61797.153246055823</v>
      </c>
      <c r="C21" s="435">
        <f t="shared" si="4"/>
        <v>53693.09261949252</v>
      </c>
      <c r="D21" s="435">
        <f t="shared" si="5"/>
        <v>53737.614055128317</v>
      </c>
      <c r="E21" s="42"/>
      <c r="F21" s="461" t="s">
        <v>10</v>
      </c>
      <c r="G21" s="435">
        <f t="shared" si="0"/>
        <v>61.899999999999991</v>
      </c>
      <c r="H21" s="435">
        <f t="shared" si="1"/>
        <v>59.099999999999994</v>
      </c>
      <c r="I21" s="435">
        <f t="shared" si="2"/>
        <v>62.86666666666666</v>
      </c>
      <c r="J21" s="186"/>
      <c r="K21" s="435">
        <f t="shared" si="6"/>
        <v>21.599999999999998</v>
      </c>
      <c r="L21" s="462">
        <f t="shared" si="7"/>
        <v>16.8</v>
      </c>
      <c r="M21" s="435">
        <f t="shared" si="8"/>
        <v>14.399999999999999</v>
      </c>
      <c r="O21" s="504">
        <f t="shared" si="9"/>
        <v>1.2</v>
      </c>
      <c r="Q21" s="461" t="s">
        <v>10</v>
      </c>
      <c r="R21" s="516">
        <v>10</v>
      </c>
      <c r="S21" s="516">
        <v>6</v>
      </c>
      <c r="T21" s="516">
        <v>8</v>
      </c>
      <c r="U21" s="516">
        <v>6</v>
      </c>
      <c r="V21" s="1527">
        <v>4</v>
      </c>
      <c r="W21" s="1527">
        <v>4</v>
      </c>
      <c r="X21" s="998">
        <v>4</v>
      </c>
      <c r="Y21" s="1001">
        <f>3*'What If Data'!Q29</f>
        <v>0</v>
      </c>
    </row>
    <row r="22" spans="1:31">
      <c r="A22" s="461" t="s">
        <v>4</v>
      </c>
      <c r="B22" s="435">
        <f t="shared" si="3"/>
        <v>583528.85415702162</v>
      </c>
      <c r="C22" s="435">
        <f t="shared" si="4"/>
        <v>582901.66200789169</v>
      </c>
      <c r="D22" s="435">
        <f t="shared" si="5"/>
        <v>569459.14873053797</v>
      </c>
      <c r="E22" s="42"/>
      <c r="F22" s="461" t="s">
        <v>4</v>
      </c>
      <c r="G22" s="435">
        <f t="shared" si="0"/>
        <v>584.5</v>
      </c>
      <c r="H22" s="435">
        <f t="shared" si="1"/>
        <v>641.59999999999991</v>
      </c>
      <c r="I22" s="435">
        <f t="shared" si="2"/>
        <v>666.19999999999993</v>
      </c>
      <c r="J22" s="186"/>
      <c r="K22" s="435">
        <f t="shared" si="6"/>
        <v>151.19999999999999</v>
      </c>
      <c r="L22" s="462">
        <f t="shared" si="7"/>
        <v>177.6</v>
      </c>
      <c r="M22" s="435">
        <f t="shared" si="8"/>
        <v>199.2</v>
      </c>
      <c r="O22" s="504">
        <f t="shared" si="9"/>
        <v>1.2</v>
      </c>
      <c r="Q22" s="461" t="s">
        <v>4</v>
      </c>
      <c r="R22" s="516">
        <v>36</v>
      </c>
      <c r="S22" s="516">
        <v>36</v>
      </c>
      <c r="T22" s="516">
        <v>39</v>
      </c>
      <c r="U22" s="516">
        <v>42</v>
      </c>
      <c r="V22" s="1526">
        <v>45</v>
      </c>
      <c r="W22" s="1526">
        <v>61</v>
      </c>
      <c r="X22" s="997">
        <v>60</v>
      </c>
      <c r="Y22" s="1001">
        <f>3*'What If Data'!Q30</f>
        <v>0</v>
      </c>
      <c r="AB22" s="455">
        <f>V22-U22</f>
        <v>3</v>
      </c>
      <c r="AD22" s="455">
        <f>W22-V22</f>
        <v>16</v>
      </c>
    </row>
    <row r="23" spans="1:31">
      <c r="A23" s="461" t="s">
        <v>14</v>
      </c>
      <c r="B23" s="435">
        <f t="shared" si="3"/>
        <v>62995.159447917977</v>
      </c>
      <c r="C23" s="435">
        <f t="shared" si="4"/>
        <v>66957.376075407767</v>
      </c>
      <c r="D23" s="435">
        <f t="shared" si="5"/>
        <v>70348.976194120813</v>
      </c>
      <c r="E23" s="42"/>
      <c r="F23" s="461" t="s">
        <v>14</v>
      </c>
      <c r="G23" s="435">
        <f t="shared" si="0"/>
        <v>63.099999999999994</v>
      </c>
      <c r="H23" s="435">
        <f t="shared" si="1"/>
        <v>73.699999999999989</v>
      </c>
      <c r="I23" s="435">
        <f t="shared" si="2"/>
        <v>82.3</v>
      </c>
      <c r="J23" s="186"/>
      <c r="K23" s="435">
        <f t="shared" si="6"/>
        <v>30</v>
      </c>
      <c r="L23" s="462">
        <f t="shared" si="7"/>
        <v>43.199999999999996</v>
      </c>
      <c r="M23" s="435">
        <f t="shared" si="8"/>
        <v>54</v>
      </c>
      <c r="O23" s="504">
        <f>O22</f>
        <v>1.2</v>
      </c>
      <c r="Q23" s="461" t="s">
        <v>14</v>
      </c>
      <c r="R23" s="452">
        <v>10</v>
      </c>
      <c r="S23" s="452">
        <v>12</v>
      </c>
      <c r="T23" s="452">
        <v>5</v>
      </c>
      <c r="U23" s="516">
        <v>6</v>
      </c>
      <c r="V23" s="1527">
        <v>14</v>
      </c>
      <c r="W23" s="1527">
        <v>16</v>
      </c>
      <c r="X23" s="998">
        <v>15</v>
      </c>
      <c r="Y23" s="1001">
        <f>3*'What If Data'!Q31</f>
        <v>0</v>
      </c>
      <c r="AB23" s="455">
        <f>V23-U23</f>
        <v>8</v>
      </c>
      <c r="AD23" s="455">
        <f>W23-V23</f>
        <v>2</v>
      </c>
    </row>
    <row r="24" spans="1:31">
      <c r="A24" s="463" t="s">
        <v>17</v>
      </c>
      <c r="B24" s="435">
        <f t="shared" si="3"/>
        <v>1103144.0774446975</v>
      </c>
      <c r="C24" s="435">
        <f t="shared" si="4"/>
        <v>1085926.8992593405</v>
      </c>
      <c r="D24" s="435">
        <f t="shared" si="5"/>
        <v>1107992.1011220326</v>
      </c>
      <c r="E24" s="42"/>
      <c r="F24" s="463" t="s">
        <v>17</v>
      </c>
      <c r="G24" s="435">
        <f t="shared" si="0"/>
        <v>1104.98</v>
      </c>
      <c r="H24" s="435">
        <f t="shared" si="1"/>
        <v>1195.28</v>
      </c>
      <c r="I24" s="435">
        <f t="shared" si="2"/>
        <v>1296.22</v>
      </c>
      <c r="J24" s="186"/>
      <c r="K24" s="435">
        <f t="shared" si="6"/>
        <v>179.28</v>
      </c>
      <c r="L24" s="462">
        <f t="shared" si="7"/>
        <v>220.08</v>
      </c>
      <c r="M24" s="435">
        <f t="shared" si="8"/>
        <v>258</v>
      </c>
      <c r="O24" s="504">
        <f t="shared" si="9"/>
        <v>1.2</v>
      </c>
      <c r="Q24" s="463" t="s">
        <v>17</v>
      </c>
      <c r="R24" s="443">
        <v>15</v>
      </c>
      <c r="S24" s="443">
        <v>25</v>
      </c>
      <c r="T24" s="443">
        <v>46</v>
      </c>
      <c r="U24" s="443">
        <v>43.400000000000006</v>
      </c>
      <c r="V24" s="1529">
        <v>60</v>
      </c>
      <c r="W24" s="1529">
        <v>80</v>
      </c>
      <c r="X24" s="1004">
        <v>75</v>
      </c>
      <c r="Y24" s="1001">
        <f>3*'What If Data'!Q32</f>
        <v>0</v>
      </c>
      <c r="AB24" s="455">
        <f>V24-U24</f>
        <v>16.599999999999994</v>
      </c>
      <c r="AD24" s="455">
        <f>W24-V24</f>
        <v>20</v>
      </c>
    </row>
    <row r="25" spans="1:31">
      <c r="A25" s="461" t="s">
        <v>316</v>
      </c>
      <c r="B25" s="435">
        <f t="shared" si="3"/>
        <v>31747.164349346935</v>
      </c>
      <c r="C25" s="435">
        <f t="shared" si="4"/>
        <v>15808.118639241451</v>
      </c>
      <c r="D25" s="435">
        <f t="shared" si="5"/>
        <v>19318.187873476669</v>
      </c>
      <c r="E25" s="42"/>
      <c r="F25" s="461" t="s">
        <v>316</v>
      </c>
      <c r="G25" s="435">
        <f t="shared" si="0"/>
        <v>31.799999999999997</v>
      </c>
      <c r="H25" s="435">
        <f t="shared" si="1"/>
        <v>17.399999999999999</v>
      </c>
      <c r="I25" s="435">
        <f t="shared" si="2"/>
        <v>22.599999999999998</v>
      </c>
      <c r="J25" s="186"/>
      <c r="K25" s="435">
        <f t="shared" si="6"/>
        <v>13.2</v>
      </c>
      <c r="L25" s="462">
        <f t="shared" si="7"/>
        <v>3.5999999999999996</v>
      </c>
      <c r="M25" s="435">
        <f t="shared" si="8"/>
        <v>6</v>
      </c>
      <c r="O25" s="504">
        <f t="shared" si="9"/>
        <v>1.2</v>
      </c>
      <c r="Q25" s="461" t="s">
        <v>316</v>
      </c>
      <c r="R25" s="452">
        <v>1</v>
      </c>
      <c r="S25" s="452">
        <v>2</v>
      </c>
      <c r="T25" s="452">
        <v>8</v>
      </c>
      <c r="U25" s="516">
        <v>0</v>
      </c>
      <c r="V25" s="1527">
        <v>3</v>
      </c>
      <c r="W25" s="1527">
        <v>0</v>
      </c>
      <c r="X25" s="998">
        <v>2</v>
      </c>
      <c r="Y25" s="1001">
        <f>3*'What If Data'!Q33</f>
        <v>0</v>
      </c>
      <c r="AB25" s="455">
        <f>V25-U25</f>
        <v>3</v>
      </c>
      <c r="AD25" s="455">
        <f>W25-V25</f>
        <v>-3</v>
      </c>
    </row>
    <row r="26" spans="1:31">
      <c r="A26" s="461" t="s">
        <v>7</v>
      </c>
      <c r="B26" s="435">
        <f t="shared" si="3"/>
        <v>1728024.1123359944</v>
      </c>
      <c r="C26" s="435">
        <f t="shared" si="4"/>
        <v>1836013.0435656926</v>
      </c>
      <c r="D26" s="435">
        <f t="shared" si="5"/>
        <v>1903268.899074476</v>
      </c>
      <c r="E26" s="42"/>
      <c r="F26" s="461" t="s">
        <v>7</v>
      </c>
      <c r="G26" s="435">
        <f t="shared" si="0"/>
        <v>1730.9</v>
      </c>
      <c r="H26" s="435">
        <f t="shared" si="1"/>
        <v>2020.8999999999996</v>
      </c>
      <c r="I26" s="435">
        <f t="shared" si="2"/>
        <v>2226.6</v>
      </c>
      <c r="J26" s="186"/>
      <c r="K26" s="435">
        <f t="shared" si="6"/>
        <v>1087.2</v>
      </c>
      <c r="L26" s="462">
        <f t="shared" si="7"/>
        <v>1304.3999999999999</v>
      </c>
      <c r="M26" s="435">
        <f t="shared" si="8"/>
        <v>1450.8</v>
      </c>
      <c r="O26" s="504">
        <f t="shared" si="9"/>
        <v>1.2</v>
      </c>
      <c r="Q26" s="461" t="s">
        <v>7</v>
      </c>
      <c r="R26" s="516">
        <v>116</v>
      </c>
      <c r="S26" s="516">
        <v>187</v>
      </c>
      <c r="T26" s="516">
        <v>231</v>
      </c>
      <c r="U26" s="516">
        <v>298</v>
      </c>
      <c r="V26" s="1526">
        <v>377</v>
      </c>
      <c r="W26" s="1526">
        <v>412</v>
      </c>
      <c r="X26" s="997">
        <v>420</v>
      </c>
      <c r="Y26" s="1001">
        <f>3*'What If Data'!Q34</f>
        <v>0</v>
      </c>
      <c r="AB26" s="455">
        <f>V26-U26</f>
        <v>79</v>
      </c>
      <c r="AD26" s="455">
        <f>W26-V26</f>
        <v>35</v>
      </c>
    </row>
    <row r="27" spans="1:31">
      <c r="A27" s="461" t="s">
        <v>9</v>
      </c>
      <c r="B27" s="435">
        <f t="shared" si="3"/>
        <v>850784.07102243602</v>
      </c>
      <c r="C27" s="435">
        <f t="shared" si="4"/>
        <v>822113.02049710311</v>
      </c>
      <c r="D27" s="435">
        <f t="shared" si="5"/>
        <v>794695.54274209135</v>
      </c>
      <c r="E27" s="42"/>
      <c r="F27" s="461" t="s">
        <v>9</v>
      </c>
      <c r="G27" s="435">
        <f t="shared" si="0"/>
        <v>852.2</v>
      </c>
      <c r="H27" s="435">
        <f t="shared" si="1"/>
        <v>904.90000000000009</v>
      </c>
      <c r="I27" s="435">
        <f t="shared" si="2"/>
        <v>929.7</v>
      </c>
      <c r="J27" s="186"/>
      <c r="K27" s="435">
        <f t="shared" si="6"/>
        <v>78</v>
      </c>
      <c r="L27" s="462">
        <f t="shared" si="7"/>
        <v>74.399999999999991</v>
      </c>
      <c r="M27" s="435">
        <f t="shared" si="8"/>
        <v>79.2</v>
      </c>
      <c r="O27" s="504">
        <f t="shared" si="9"/>
        <v>1.2</v>
      </c>
      <c r="Q27" s="461" t="s">
        <v>9</v>
      </c>
      <c r="R27" s="516">
        <v>14</v>
      </c>
      <c r="S27" s="516">
        <v>16</v>
      </c>
      <c r="T27" s="516">
        <v>20</v>
      </c>
      <c r="U27" s="516">
        <v>18</v>
      </c>
      <c r="V27" s="1526">
        <v>27</v>
      </c>
      <c r="W27" s="1526">
        <v>17</v>
      </c>
      <c r="X27" s="997">
        <v>22</v>
      </c>
      <c r="Y27" s="1001">
        <f>3*'What If Data'!Q35</f>
        <v>0</v>
      </c>
    </row>
    <row r="28" spans="1:31">
      <c r="A28" s="463" t="s">
        <v>5</v>
      </c>
      <c r="B28" s="435">
        <f t="shared" si="3"/>
        <v>150249.94448354447</v>
      </c>
      <c r="C28" s="435">
        <f t="shared" si="4"/>
        <v>147724.14314601498</v>
      </c>
      <c r="D28" s="435">
        <f t="shared" si="5"/>
        <v>130269.55008486038</v>
      </c>
      <c r="E28" s="42"/>
      <c r="F28" s="463" t="s">
        <v>5</v>
      </c>
      <c r="G28" s="435">
        <f t="shared" si="0"/>
        <v>150.5</v>
      </c>
      <c r="H28" s="435">
        <f t="shared" si="1"/>
        <v>162.6</v>
      </c>
      <c r="I28" s="435">
        <f t="shared" si="2"/>
        <v>152.39999999999998</v>
      </c>
      <c r="J28" s="186"/>
      <c r="K28" s="435">
        <f t="shared" si="6"/>
        <v>39.6</v>
      </c>
      <c r="L28" s="462">
        <f t="shared" si="7"/>
        <v>43.199999999999996</v>
      </c>
      <c r="M28" s="435">
        <f t="shared" si="8"/>
        <v>37.799999999999997</v>
      </c>
      <c r="O28" s="504">
        <f t="shared" si="9"/>
        <v>1.2</v>
      </c>
      <c r="Q28" s="463" t="s">
        <v>5</v>
      </c>
      <c r="R28" s="443">
        <v>3</v>
      </c>
      <c r="S28" s="443">
        <v>4</v>
      </c>
      <c r="T28" s="443">
        <v>7</v>
      </c>
      <c r="U28" s="443">
        <v>15</v>
      </c>
      <c r="V28" s="1521">
        <v>11</v>
      </c>
      <c r="W28" s="1521">
        <v>10</v>
      </c>
      <c r="X28" s="987">
        <v>10.5</v>
      </c>
      <c r="Y28" s="1001">
        <f>3*'What If Data'!Q36</f>
        <v>0</v>
      </c>
    </row>
    <row r="29" spans="1:31">
      <c r="A29" s="461"/>
      <c r="B29" s="434"/>
      <c r="C29" s="434"/>
      <c r="D29" s="434"/>
      <c r="E29" s="42"/>
      <c r="F29" s="461"/>
      <c r="G29" s="523"/>
      <c r="H29" s="523"/>
      <c r="I29" s="523"/>
      <c r="J29" s="186"/>
      <c r="K29" s="434"/>
      <c r="L29" s="462"/>
      <c r="M29" s="435"/>
      <c r="Q29" s="461"/>
      <c r="R29" s="452"/>
      <c r="S29" s="452"/>
      <c r="T29" s="452"/>
      <c r="U29" s="516"/>
      <c r="V29" s="1733"/>
      <c r="W29" s="1733"/>
      <c r="X29" s="1209"/>
      <c r="Y29" s="516"/>
    </row>
    <row r="30" spans="1:31">
      <c r="A30" s="461" t="s">
        <v>516</v>
      </c>
      <c r="B30" s="435">
        <f>B55*D$9</f>
        <v>0</v>
      </c>
      <c r="C30" s="435">
        <f>C55*D$9</f>
        <v>0</v>
      </c>
      <c r="D30" s="435">
        <f>D55*D$9</f>
        <v>0</v>
      </c>
      <c r="E30" s="42"/>
      <c r="F30" s="461" t="s">
        <v>516</v>
      </c>
      <c r="G30" s="435">
        <f t="shared" ref="G30:I34" si="10">K30+K55+K78</f>
        <v>0</v>
      </c>
      <c r="H30" s="435">
        <f t="shared" si="10"/>
        <v>0</v>
      </c>
      <c r="I30" s="435">
        <f t="shared" si="10"/>
        <v>0</v>
      </c>
      <c r="J30" s="186"/>
      <c r="K30" s="435">
        <f>O30*(U30+V30+T30)</f>
        <v>0</v>
      </c>
      <c r="L30" s="462">
        <f>O30*(W30+U30+V30)</f>
        <v>0</v>
      </c>
      <c r="M30" s="435">
        <f>O30*(V30+W30+X30+Y30)</f>
        <v>0</v>
      </c>
      <c r="O30" s="504">
        <f>O28</f>
        <v>1.2</v>
      </c>
      <c r="Q30" s="461" t="s">
        <v>516</v>
      </c>
      <c r="R30" s="452"/>
      <c r="S30" s="452"/>
      <c r="T30" s="452"/>
      <c r="U30" s="516"/>
      <c r="V30" s="1733"/>
      <c r="W30" s="1733"/>
      <c r="X30" s="1209"/>
      <c r="Y30" s="516"/>
    </row>
    <row r="31" spans="1:31">
      <c r="A31" s="461" t="s">
        <v>537</v>
      </c>
      <c r="B31" s="435">
        <f>B56*D$9</f>
        <v>0</v>
      </c>
      <c r="C31" s="435">
        <f>C56*D$9</f>
        <v>0</v>
      </c>
      <c r="D31" s="435">
        <f>D56*D$9</f>
        <v>0</v>
      </c>
      <c r="E31" s="42"/>
      <c r="F31" s="461" t="s">
        <v>537</v>
      </c>
      <c r="G31" s="435">
        <f t="shared" si="10"/>
        <v>0</v>
      </c>
      <c r="H31" s="435">
        <f t="shared" si="10"/>
        <v>0</v>
      </c>
      <c r="I31" s="435">
        <f t="shared" si="10"/>
        <v>0</v>
      </c>
      <c r="J31" s="186"/>
      <c r="K31" s="435">
        <f>O31*(U31+V31+T31)</f>
        <v>0</v>
      </c>
      <c r="L31" s="462">
        <f>O31*(W31+U31+V31)</f>
        <v>0</v>
      </c>
      <c r="M31" s="435">
        <f>O31*(V31+W31+X31+Y31)</f>
        <v>0</v>
      </c>
      <c r="O31" s="504">
        <f>O30</f>
        <v>1.2</v>
      </c>
      <c r="Q31" s="461" t="s">
        <v>537</v>
      </c>
      <c r="R31" s="516"/>
      <c r="S31" s="516"/>
      <c r="T31" s="516"/>
      <c r="U31" s="508"/>
      <c r="V31" s="1527"/>
      <c r="W31" s="1527"/>
      <c r="X31" s="1210"/>
      <c r="Y31" s="508"/>
    </row>
    <row r="32" spans="1:31">
      <c r="A32" s="463" t="s">
        <v>518</v>
      </c>
      <c r="B32" s="435">
        <f>B57*D$9</f>
        <v>2396.0124037242972</v>
      </c>
      <c r="C32" s="435">
        <f>C57*D$9</f>
        <v>2180.4301571367523</v>
      </c>
      <c r="D32" s="435">
        <f>D57*D$9</f>
        <v>2051.4889777143371</v>
      </c>
      <c r="E32" s="42"/>
      <c r="F32" s="463" t="s">
        <v>518</v>
      </c>
      <c r="G32" s="435">
        <f t="shared" si="10"/>
        <v>2.4</v>
      </c>
      <c r="H32" s="435">
        <f t="shared" si="10"/>
        <v>2.4</v>
      </c>
      <c r="I32" s="435">
        <f t="shared" si="10"/>
        <v>2.4</v>
      </c>
      <c r="J32" s="186"/>
      <c r="K32" s="435">
        <f>O32*(U32+V32+T32)</f>
        <v>2.4</v>
      </c>
      <c r="L32" s="462">
        <f>O32*(W32+U32+V32)</f>
        <v>2.4</v>
      </c>
      <c r="M32" s="435">
        <f>O32*(V32+W32+X32+Y32)</f>
        <v>2.4</v>
      </c>
      <c r="O32" s="504">
        <f>O31</f>
        <v>1.2</v>
      </c>
      <c r="Q32" s="463" t="s">
        <v>518</v>
      </c>
      <c r="R32" s="444"/>
      <c r="S32" s="444"/>
      <c r="T32" s="444"/>
      <c r="U32" s="577"/>
      <c r="V32" s="1528">
        <v>2</v>
      </c>
      <c r="W32" s="1528"/>
      <c r="X32" s="1211"/>
      <c r="Y32" s="1001">
        <f>3*'What If Data'!Q40</f>
        <v>0</v>
      </c>
    </row>
    <row r="33" spans="1:31">
      <c r="A33" s="461" t="s">
        <v>536</v>
      </c>
      <c r="B33" s="435">
        <f>B58*D$9</f>
        <v>0</v>
      </c>
      <c r="C33" s="435">
        <f>C58*D$9</f>
        <v>0</v>
      </c>
      <c r="D33" s="435">
        <f>D58*D$9</f>
        <v>0</v>
      </c>
      <c r="E33" s="42"/>
      <c r="F33" s="461" t="s">
        <v>536</v>
      </c>
      <c r="G33" s="435">
        <f t="shared" si="10"/>
        <v>0</v>
      </c>
      <c r="H33" s="435">
        <f t="shared" si="10"/>
        <v>0</v>
      </c>
      <c r="I33" s="435">
        <f t="shared" si="10"/>
        <v>0</v>
      </c>
      <c r="J33" s="186"/>
      <c r="K33" s="435">
        <f>O33*(U33+V33+T33)</f>
        <v>0</v>
      </c>
      <c r="L33" s="462">
        <f>O33*(W33+U33+V33)</f>
        <v>0</v>
      </c>
      <c r="M33" s="435">
        <f>O33*(V33+W33+X33+Y33)</f>
        <v>0</v>
      </c>
      <c r="O33" s="504">
        <f>O32</f>
        <v>1.2</v>
      </c>
      <c r="Q33" s="461" t="s">
        <v>536</v>
      </c>
      <c r="R33" s="516"/>
      <c r="S33" s="516"/>
      <c r="T33" s="516"/>
      <c r="U33" s="508"/>
      <c r="V33" s="1182"/>
      <c r="W33" s="1182"/>
      <c r="X33" s="1182"/>
      <c r="Y33" s="508"/>
    </row>
    <row r="34" spans="1:31">
      <c r="A34" s="467" t="s">
        <v>520</v>
      </c>
      <c r="B34" s="435">
        <f>B59*D$9</f>
        <v>0</v>
      </c>
      <c r="C34" s="435">
        <f>C59*D$9</f>
        <v>0</v>
      </c>
      <c r="D34" s="435">
        <f>D59*D$9</f>
        <v>0</v>
      </c>
      <c r="E34" s="42"/>
      <c r="F34" s="467" t="s">
        <v>520</v>
      </c>
      <c r="G34" s="435">
        <f t="shared" si="10"/>
        <v>0</v>
      </c>
      <c r="H34" s="435">
        <f t="shared" si="10"/>
        <v>0</v>
      </c>
      <c r="I34" s="435">
        <f t="shared" si="10"/>
        <v>0</v>
      </c>
      <c r="J34" s="186"/>
      <c r="K34" s="435">
        <f>O34*(U34+V34+T34)</f>
        <v>0</v>
      </c>
      <c r="L34" s="462">
        <f>O34*(W34+U34+V34)</f>
        <v>0</v>
      </c>
      <c r="M34" s="435">
        <f>O34*(V34+W34+X34+Y34)</f>
        <v>0</v>
      </c>
      <c r="O34" s="504">
        <f>O33</f>
        <v>1.2</v>
      </c>
      <c r="Q34" s="467" t="s">
        <v>520</v>
      </c>
      <c r="R34" s="452"/>
      <c r="S34" s="452"/>
      <c r="T34" s="452"/>
      <c r="U34" s="508"/>
      <c r="V34" s="1182"/>
      <c r="W34" s="1182"/>
      <c r="X34" s="1182"/>
      <c r="Y34" s="508"/>
    </row>
    <row r="35" spans="1:31">
      <c r="A35" s="468"/>
      <c r="B35" s="447">
        <f>SUM(B17:B34)</f>
        <v>6367382.9961272897</v>
      </c>
      <c r="C35" s="447">
        <f>SUM(C17:C34)</f>
        <v>6367382.9961272916</v>
      </c>
      <c r="D35" s="447">
        <f>SUM(D17:D34)</f>
        <v>6367382.9961272907</v>
      </c>
      <c r="E35" s="331"/>
      <c r="F35" s="468"/>
      <c r="G35" s="447">
        <f>SUM(G17:G34)</f>
        <v>6377.9800000000005</v>
      </c>
      <c r="H35" s="447">
        <f>SUM(H17:H34)</f>
        <v>7008.5799999999981</v>
      </c>
      <c r="I35" s="447">
        <f>SUM(I17:I34)</f>
        <v>7449.0866666666652</v>
      </c>
      <c r="J35" s="186"/>
      <c r="K35" s="447">
        <f>SUM(K17:K34)</f>
        <v>2329.6800000000003</v>
      </c>
      <c r="L35" s="447">
        <f>SUM(L17:L34)</f>
        <v>2696.8799999999997</v>
      </c>
      <c r="M35" s="447">
        <f>SUM(M17:M34)</f>
        <v>2979</v>
      </c>
      <c r="Q35" s="446"/>
      <c r="R35" s="551">
        <f t="shared" ref="R35:X35" si="11">SUM(R17:R34)</f>
        <v>301</v>
      </c>
      <c r="S35" s="551">
        <f t="shared" si="11"/>
        <v>444</v>
      </c>
      <c r="T35" s="551">
        <f t="shared" si="11"/>
        <v>537</v>
      </c>
      <c r="U35" s="551">
        <f t="shared" si="11"/>
        <v>624.4</v>
      </c>
      <c r="V35" s="1184">
        <f t="shared" si="11"/>
        <v>780</v>
      </c>
      <c r="W35" s="1184">
        <f t="shared" si="11"/>
        <v>843</v>
      </c>
      <c r="X35" s="1212">
        <f t="shared" si="11"/>
        <v>859.5</v>
      </c>
      <c r="Y35" s="943"/>
    </row>
    <row r="36" spans="1:31">
      <c r="E36" s="42"/>
    </row>
    <row r="37" spans="1:31">
      <c r="E37" s="42"/>
      <c r="L37" s="42"/>
      <c r="M37" s="42"/>
    </row>
    <row r="38" spans="1:31">
      <c r="E38" s="42"/>
      <c r="L38" s="42"/>
      <c r="M38" s="42"/>
      <c r="Q38" s="434"/>
      <c r="R38" s="434"/>
      <c r="S38" s="434"/>
      <c r="T38" s="434"/>
      <c r="U38" s="435"/>
      <c r="V38" s="435"/>
      <c r="W38" s="435"/>
      <c r="X38" s="435"/>
      <c r="Y38" s="435"/>
    </row>
    <row r="39" spans="1:31">
      <c r="L39" s="42"/>
      <c r="M39" s="42"/>
    </row>
    <row r="40" spans="1:31">
      <c r="A40" s="458" t="s">
        <v>616</v>
      </c>
      <c r="B40" s="211"/>
      <c r="C40" s="211"/>
      <c r="D40" s="211"/>
      <c r="K40" s="458" t="s">
        <v>804</v>
      </c>
      <c r="L40" s="458"/>
      <c r="M40" s="458"/>
      <c r="Q40" s="549" t="s">
        <v>579</v>
      </c>
      <c r="R40" s="211"/>
      <c r="S40" s="211"/>
      <c r="T40" s="211"/>
      <c r="U40" s="211"/>
      <c r="V40" s="211"/>
      <c r="W40" s="211"/>
      <c r="X40" s="211"/>
      <c r="Y40" s="211"/>
    </row>
    <row r="41" spans="1:31" ht="25.5">
      <c r="A41" s="459"/>
      <c r="B41" s="460" t="s">
        <v>800</v>
      </c>
      <c r="C41" s="460" t="s">
        <v>877</v>
      </c>
      <c r="D41" s="460" t="s">
        <v>1594</v>
      </c>
      <c r="K41" s="460" t="s">
        <v>879</v>
      </c>
      <c r="L41" s="460" t="s">
        <v>1689</v>
      </c>
      <c r="M41" s="460" t="s">
        <v>1593</v>
      </c>
      <c r="Q41" s="1730"/>
      <c r="R41" s="1731" t="s">
        <v>507</v>
      </c>
      <c r="S41" s="1731" t="s">
        <v>508</v>
      </c>
      <c r="T41" s="1732" t="s">
        <v>509</v>
      </c>
      <c r="U41" s="1731" t="s">
        <v>821</v>
      </c>
      <c r="V41" s="1731" t="s">
        <v>962</v>
      </c>
      <c r="W41" s="1731" t="s">
        <v>1473</v>
      </c>
      <c r="X41" s="1731" t="s">
        <v>1570</v>
      </c>
      <c r="Y41" s="1731"/>
      <c r="AA41" s="550"/>
      <c r="AB41" s="1005" t="s">
        <v>971</v>
      </c>
      <c r="AC41" s="1005" t="s">
        <v>972</v>
      </c>
      <c r="AD41" s="1005" t="s">
        <v>973</v>
      </c>
    </row>
    <row r="42" spans="1:31">
      <c r="A42" s="461" t="s">
        <v>513</v>
      </c>
      <c r="B42" s="523">
        <f>G17/G$35</f>
        <v>8.0197805574805811E-2</v>
      </c>
      <c r="C42" s="523">
        <f>H17/H$35</f>
        <v>7.0056987292718378E-2</v>
      </c>
      <c r="D42" s="523">
        <f>I17/I$35</f>
        <v>6.7350538723763009E-2</v>
      </c>
      <c r="I42" s="455"/>
      <c r="K42" s="435">
        <f>O42*(U42+V42+T42)</f>
        <v>197.39999999999998</v>
      </c>
      <c r="L42" s="462">
        <f>O42*(W42+U42+V42)</f>
        <v>177.79999999999998</v>
      </c>
      <c r="M42" s="435">
        <f>O42*(V42+W42+X42+Y42)</f>
        <v>186.2</v>
      </c>
      <c r="O42" s="504">
        <f>J5</f>
        <v>1.4</v>
      </c>
      <c r="Q42" s="461" t="s">
        <v>513</v>
      </c>
      <c r="R42" s="516">
        <v>36</v>
      </c>
      <c r="S42" s="516">
        <v>43</v>
      </c>
      <c r="T42" s="516">
        <v>53</v>
      </c>
      <c r="U42" s="497">
        <v>37</v>
      </c>
      <c r="V42" s="497">
        <v>51</v>
      </c>
      <c r="W42" s="1526">
        <v>39</v>
      </c>
      <c r="X42" s="1736">
        <v>43</v>
      </c>
      <c r="Y42" s="997">
        <f>3*'What If Data'!R25</f>
        <v>0</v>
      </c>
      <c r="AA42" s="461" t="s">
        <v>513</v>
      </c>
      <c r="AB42" s="1090">
        <f t="shared" ref="AB42:AB53" si="12">D17*(M17/I17)/(M17/O17/3)</f>
        <v>3077.2334665715057</v>
      </c>
      <c r="AC42" s="1090">
        <f t="shared" ref="AC42:AC53" si="13">D17*M42/I17/(M42/O42/3)</f>
        <v>3590.1057110000893</v>
      </c>
      <c r="AD42" s="1090">
        <f t="shared" ref="AD42:AD53" si="14">D17*M65/I17/(M65/O65/3)</f>
        <v>769.30836664287642</v>
      </c>
      <c r="AE42">
        <f>SUM(AB42:AD42)</f>
        <v>7436.647544214472</v>
      </c>
    </row>
    <row r="43" spans="1:31">
      <c r="A43" s="461" t="s">
        <v>6</v>
      </c>
      <c r="B43" s="523">
        <f t="shared" ref="B43:B53" si="15">G18/G$35</f>
        <v>0.16243387404789603</v>
      </c>
      <c r="C43" s="523">
        <f t="shared" ref="C43:D53" si="16">H18/H$35</f>
        <v>0.16641031421486238</v>
      </c>
      <c r="D43" s="523">
        <f t="shared" si="16"/>
        <v>0.16466448235712119</v>
      </c>
      <c r="K43" s="435">
        <f t="shared" ref="K43:K53" si="17">O43*(U43+V43+T43)</f>
        <v>233.79999999999998</v>
      </c>
      <c r="L43" s="462">
        <f t="shared" ref="L43:L53" si="18">O43*(W43+U43+V43)</f>
        <v>287</v>
      </c>
      <c r="M43" s="435">
        <f t="shared" ref="M43:M53" si="19">O43*(V43+W43+X43+Y43)</f>
        <v>295.39999999999998</v>
      </c>
      <c r="O43" s="504">
        <f>O42</f>
        <v>1.4</v>
      </c>
      <c r="Q43" s="461" t="s">
        <v>6</v>
      </c>
      <c r="R43" s="516">
        <v>69</v>
      </c>
      <c r="S43" s="516">
        <v>68</v>
      </c>
      <c r="T43" s="516">
        <v>45</v>
      </c>
      <c r="U43" s="497">
        <v>62</v>
      </c>
      <c r="V43" s="497">
        <v>60</v>
      </c>
      <c r="W43" s="1526">
        <v>83</v>
      </c>
      <c r="X43" s="1736">
        <v>68</v>
      </c>
      <c r="Y43" s="997">
        <f>3*'What If Data'!R26</f>
        <v>0</v>
      </c>
      <c r="AA43" s="461" t="s">
        <v>6</v>
      </c>
      <c r="AB43" s="1090">
        <f t="shared" si="12"/>
        <v>3077.2334665715052</v>
      </c>
      <c r="AC43" s="1090">
        <f t="shared" si="13"/>
        <v>3590.1057110000893</v>
      </c>
      <c r="AD43" s="1090">
        <f t="shared" si="14"/>
        <v>769.30836664287631</v>
      </c>
    </row>
    <row r="44" spans="1:31">
      <c r="A44" s="461" t="s">
        <v>8</v>
      </c>
      <c r="B44" s="523">
        <f t="shared" si="15"/>
        <v>1.5349687518618746E-2</v>
      </c>
      <c r="C44" s="523">
        <f t="shared" si="16"/>
        <v>1.4995905019276376E-2</v>
      </c>
      <c r="D44" s="523">
        <f t="shared" si="16"/>
        <v>1.4901155667406208E-2</v>
      </c>
      <c r="K44" s="435">
        <f t="shared" si="17"/>
        <v>61.599999999999994</v>
      </c>
      <c r="L44" s="462">
        <f t="shared" si="18"/>
        <v>65.8</v>
      </c>
      <c r="M44" s="435">
        <f t="shared" si="19"/>
        <v>70</v>
      </c>
      <c r="O44" s="504">
        <f t="shared" ref="O44:O53" si="20">O43</f>
        <v>1.4</v>
      </c>
      <c r="Q44" s="461" t="s">
        <v>8</v>
      </c>
      <c r="R44" s="505">
        <v>13</v>
      </c>
      <c r="S44" s="505">
        <v>15</v>
      </c>
      <c r="T44" s="505">
        <v>15</v>
      </c>
      <c r="U44" s="508">
        <v>13</v>
      </c>
      <c r="V44" s="508">
        <v>16</v>
      </c>
      <c r="W44" s="1527">
        <v>18</v>
      </c>
      <c r="X44" s="1734">
        <v>16</v>
      </c>
      <c r="Y44" s="997">
        <f>3*'What If Data'!R27</f>
        <v>0</v>
      </c>
      <c r="AA44" s="461" t="s">
        <v>8</v>
      </c>
      <c r="AB44" s="1090">
        <f t="shared" si="12"/>
        <v>3077.2334665715048</v>
      </c>
      <c r="AC44" s="1090">
        <f t="shared" si="13"/>
        <v>3590.1057110000893</v>
      </c>
      <c r="AD44" s="1090">
        <f t="shared" si="14"/>
        <v>769.30836664287631</v>
      </c>
    </row>
    <row r="45" spans="1:31">
      <c r="A45" s="463" t="s">
        <v>2</v>
      </c>
      <c r="B45" s="523">
        <f t="shared" si="15"/>
        <v>2.356545489324206E-2</v>
      </c>
      <c r="C45" s="523">
        <f t="shared" si="16"/>
        <v>2.4013423546567214E-2</v>
      </c>
      <c r="D45" s="523">
        <f t="shared" si="16"/>
        <v>2.2620222792413928E-2</v>
      </c>
      <c r="K45" s="435">
        <f t="shared" si="17"/>
        <v>46.199999999999996</v>
      </c>
      <c r="L45" s="462">
        <f t="shared" si="18"/>
        <v>50.4</v>
      </c>
      <c r="M45" s="435">
        <f t="shared" si="19"/>
        <v>50.4</v>
      </c>
      <c r="O45" s="504">
        <f t="shared" si="20"/>
        <v>1.4</v>
      </c>
      <c r="Q45" s="463" t="s">
        <v>2</v>
      </c>
      <c r="R45" s="443">
        <v>8</v>
      </c>
      <c r="S45" s="443">
        <v>13</v>
      </c>
      <c r="T45" s="443">
        <v>9</v>
      </c>
      <c r="U45" s="577">
        <v>12</v>
      </c>
      <c r="V45" s="577">
        <v>12</v>
      </c>
      <c r="W45" s="1528">
        <v>12</v>
      </c>
      <c r="X45" s="1735">
        <v>12</v>
      </c>
      <c r="Y45" s="997">
        <f>3*'What If Data'!R28</f>
        <v>0</v>
      </c>
      <c r="AA45" s="463" t="s">
        <v>2</v>
      </c>
      <c r="AB45" s="1090">
        <f t="shared" si="12"/>
        <v>3077.2334665715052</v>
      </c>
      <c r="AC45" s="1090">
        <f t="shared" si="13"/>
        <v>3590.1057110000897</v>
      </c>
      <c r="AD45" s="1090">
        <f t="shared" si="14"/>
        <v>769.30836664287642</v>
      </c>
    </row>
    <row r="46" spans="1:31">
      <c r="A46" s="461" t="s">
        <v>10</v>
      </c>
      <c r="B46" s="523">
        <f t="shared" si="15"/>
        <v>9.7052671849080716E-3</v>
      </c>
      <c r="C46" s="523">
        <f t="shared" si="16"/>
        <v>8.4325212810583607E-3</v>
      </c>
      <c r="D46" s="523">
        <f t="shared" si="16"/>
        <v>8.4395133900084397E-3</v>
      </c>
      <c r="K46" s="435">
        <f t="shared" si="17"/>
        <v>19.599999999999998</v>
      </c>
      <c r="L46" s="462">
        <f t="shared" si="18"/>
        <v>21</v>
      </c>
      <c r="M46" s="435">
        <f t="shared" si="19"/>
        <v>28.466666666666661</v>
      </c>
      <c r="O46" s="504">
        <f t="shared" si="20"/>
        <v>1.4</v>
      </c>
      <c r="Q46" s="461" t="s">
        <v>10</v>
      </c>
      <c r="R46" s="516">
        <v>5</v>
      </c>
      <c r="S46" s="516">
        <v>7</v>
      </c>
      <c r="T46" s="516">
        <v>5</v>
      </c>
      <c r="U46" s="508">
        <v>2</v>
      </c>
      <c r="V46" s="508">
        <v>7</v>
      </c>
      <c r="W46" s="1527">
        <v>6</v>
      </c>
      <c r="X46" s="1734">
        <v>7.333333333333333</v>
      </c>
      <c r="Y46" s="997">
        <f>3*'What If Data'!R29</f>
        <v>0</v>
      </c>
      <c r="AA46" s="461" t="s">
        <v>10</v>
      </c>
      <c r="AB46" s="1090">
        <f t="shared" si="12"/>
        <v>3077.2334665715048</v>
      </c>
      <c r="AC46" s="1090">
        <f t="shared" si="13"/>
        <v>3590.1057110000888</v>
      </c>
      <c r="AD46" s="1090">
        <f t="shared" si="14"/>
        <v>769.30836664287619</v>
      </c>
    </row>
    <row r="47" spans="1:31">
      <c r="A47" s="461" t="s">
        <v>4</v>
      </c>
      <c r="B47" s="523">
        <f t="shared" si="15"/>
        <v>9.1643435695941342E-2</v>
      </c>
      <c r="C47" s="523">
        <f t="shared" si="16"/>
        <v>9.154493492262343E-2</v>
      </c>
      <c r="D47" s="523">
        <f t="shared" si="16"/>
        <v>8.9433782933567699E-2</v>
      </c>
      <c r="K47" s="435">
        <f t="shared" si="17"/>
        <v>208.6</v>
      </c>
      <c r="L47" s="462">
        <f t="shared" si="18"/>
        <v>240.79999999999998</v>
      </c>
      <c r="M47" s="435">
        <f t="shared" si="19"/>
        <v>244.99999999999997</v>
      </c>
      <c r="O47" s="504">
        <f t="shared" si="20"/>
        <v>1.4</v>
      </c>
      <c r="Q47" s="461" t="s">
        <v>4</v>
      </c>
      <c r="R47" s="516">
        <v>41</v>
      </c>
      <c r="S47" s="516">
        <v>29</v>
      </c>
      <c r="T47" s="516">
        <v>45</v>
      </c>
      <c r="U47" s="497">
        <v>54</v>
      </c>
      <c r="V47" s="497">
        <v>50</v>
      </c>
      <c r="W47" s="1526">
        <v>68</v>
      </c>
      <c r="X47" s="1736">
        <v>57</v>
      </c>
      <c r="Y47" s="997">
        <f>3*'What If Data'!R30</f>
        <v>0</v>
      </c>
      <c r="AA47" s="461" t="s">
        <v>4</v>
      </c>
      <c r="AB47" s="1090">
        <f t="shared" si="12"/>
        <v>3077.2334665715052</v>
      </c>
      <c r="AC47" s="1090">
        <f t="shared" si="13"/>
        <v>3590.1057110000897</v>
      </c>
      <c r="AD47" s="1090">
        <f t="shared" si="14"/>
        <v>769.30836664287642</v>
      </c>
    </row>
    <row r="48" spans="1:31">
      <c r="A48" s="461" t="s">
        <v>14</v>
      </c>
      <c r="B48" s="523">
        <f t="shared" si="15"/>
        <v>9.8934145293650948E-3</v>
      </c>
      <c r="C48" s="523">
        <f t="shared" si="16"/>
        <v>1.0515682206666687E-2</v>
      </c>
      <c r="D48" s="523">
        <f t="shared" si="16"/>
        <v>1.1048334337184964E-2</v>
      </c>
      <c r="K48" s="435">
        <f t="shared" si="17"/>
        <v>23.799999999999997</v>
      </c>
      <c r="L48" s="462">
        <f t="shared" si="18"/>
        <v>22.4</v>
      </c>
      <c r="M48" s="435">
        <f t="shared" si="19"/>
        <v>19.599999999999998</v>
      </c>
      <c r="O48" s="504">
        <f>O47</f>
        <v>1.4</v>
      </c>
      <c r="Q48" s="461" t="s">
        <v>14</v>
      </c>
      <c r="R48" s="452">
        <v>3</v>
      </c>
      <c r="S48" s="452">
        <v>3</v>
      </c>
      <c r="T48" s="452">
        <v>5</v>
      </c>
      <c r="U48" s="508">
        <v>7</v>
      </c>
      <c r="V48" s="508">
        <v>5</v>
      </c>
      <c r="W48" s="1527">
        <v>4</v>
      </c>
      <c r="X48" s="1734">
        <v>5</v>
      </c>
      <c r="Y48" s="997">
        <f>3*'What If Data'!R31</f>
        <v>0</v>
      </c>
      <c r="AA48" s="461" t="s">
        <v>14</v>
      </c>
      <c r="AB48" s="1090">
        <f t="shared" si="12"/>
        <v>3077.2334665715057</v>
      </c>
      <c r="AC48" s="1090">
        <f t="shared" si="13"/>
        <v>3590.1057110000902</v>
      </c>
      <c r="AD48" s="1090">
        <f t="shared" si="14"/>
        <v>769.30836664287654</v>
      </c>
    </row>
    <row r="49" spans="1:30">
      <c r="A49" s="463" t="s">
        <v>17</v>
      </c>
      <c r="B49" s="523">
        <f t="shared" si="15"/>
        <v>0.17324921056510054</v>
      </c>
      <c r="C49" s="523">
        <f t="shared" si="16"/>
        <v>0.17054524596993975</v>
      </c>
      <c r="D49" s="523">
        <f t="shared" si="16"/>
        <v>0.17401059458743492</v>
      </c>
      <c r="K49" s="435">
        <f t="shared" si="17"/>
        <v>505.4</v>
      </c>
      <c r="L49" s="462">
        <f t="shared" si="18"/>
        <v>555.79999999999995</v>
      </c>
      <c r="M49" s="435">
        <f t="shared" si="19"/>
        <v>616.41999999999996</v>
      </c>
      <c r="O49" s="504">
        <f t="shared" si="20"/>
        <v>1.4</v>
      </c>
      <c r="Q49" s="463" t="s">
        <v>17</v>
      </c>
      <c r="R49" s="443">
        <v>94</v>
      </c>
      <c r="S49" s="443">
        <v>119</v>
      </c>
      <c r="T49" s="443">
        <v>111</v>
      </c>
      <c r="U49" s="573">
        <v>120</v>
      </c>
      <c r="V49" s="573">
        <v>130</v>
      </c>
      <c r="W49" s="1529">
        <v>147</v>
      </c>
      <c r="X49" s="1737">
        <v>163.30000000000001</v>
      </c>
      <c r="Y49" s="997">
        <f>3*'What If Data'!R32</f>
        <v>0</v>
      </c>
      <c r="AA49" s="463" t="s">
        <v>17</v>
      </c>
      <c r="AB49" s="1090">
        <f t="shared" si="12"/>
        <v>3077.2334665715057</v>
      </c>
      <c r="AC49" s="1090">
        <f t="shared" si="13"/>
        <v>3590.1057110000897</v>
      </c>
      <c r="AD49" s="1090">
        <f t="shared" si="14"/>
        <v>769.30836664287654</v>
      </c>
    </row>
    <row r="50" spans="1:30">
      <c r="A50" s="461" t="s">
        <v>316</v>
      </c>
      <c r="B50" s="523">
        <f t="shared" si="15"/>
        <v>4.9859046281110937E-3</v>
      </c>
      <c r="C50" s="523">
        <f t="shared" si="16"/>
        <v>2.4826712401085529E-3</v>
      </c>
      <c r="D50" s="523">
        <f t="shared" si="16"/>
        <v>3.0339289917421645E-3</v>
      </c>
      <c r="K50" s="435">
        <f t="shared" si="17"/>
        <v>12.6</v>
      </c>
      <c r="L50" s="462">
        <f t="shared" si="18"/>
        <v>8.3999999999999986</v>
      </c>
      <c r="M50" s="435">
        <f t="shared" si="19"/>
        <v>11.2</v>
      </c>
      <c r="O50" s="504">
        <f t="shared" si="20"/>
        <v>1.4</v>
      </c>
      <c r="Q50" s="461" t="s">
        <v>316</v>
      </c>
      <c r="R50" s="452">
        <v>3</v>
      </c>
      <c r="S50" s="452">
        <v>4</v>
      </c>
      <c r="T50" s="452">
        <v>5</v>
      </c>
      <c r="U50" s="508">
        <v>0</v>
      </c>
      <c r="V50" s="508">
        <v>4</v>
      </c>
      <c r="W50" s="1527">
        <v>2</v>
      </c>
      <c r="X50" s="1734">
        <v>2</v>
      </c>
      <c r="Y50" s="997">
        <f>3*'What If Data'!R33</f>
        <v>0</v>
      </c>
      <c r="AA50" s="461" t="s">
        <v>316</v>
      </c>
      <c r="AB50" s="1090">
        <f t="shared" si="12"/>
        <v>3077.2334665715048</v>
      </c>
      <c r="AC50" s="1090">
        <f t="shared" si="13"/>
        <v>3590.1057110000893</v>
      </c>
      <c r="AD50" s="1090">
        <f t="shared" si="14"/>
        <v>769.30836664287608</v>
      </c>
    </row>
    <row r="51" spans="1:30">
      <c r="A51" s="461" t="s">
        <v>7</v>
      </c>
      <c r="B51" s="523">
        <f t="shared" si="15"/>
        <v>0.27138686543388346</v>
      </c>
      <c r="C51" s="523">
        <f t="shared" si="16"/>
        <v>0.28834656949053877</v>
      </c>
      <c r="D51" s="523">
        <f t="shared" si="16"/>
        <v>0.29890912800942937</v>
      </c>
      <c r="K51" s="435">
        <f t="shared" si="17"/>
        <v>329</v>
      </c>
      <c r="L51" s="462">
        <f t="shared" si="18"/>
        <v>393.4</v>
      </c>
      <c r="M51" s="435">
        <f t="shared" si="19"/>
        <v>447.29999999999995</v>
      </c>
      <c r="O51" s="504">
        <f t="shared" si="20"/>
        <v>1.4</v>
      </c>
      <c r="Q51" s="461" t="s">
        <v>7</v>
      </c>
      <c r="R51" s="516">
        <v>45</v>
      </c>
      <c r="S51" s="516">
        <v>47</v>
      </c>
      <c r="T51" s="516">
        <v>57</v>
      </c>
      <c r="U51" s="497">
        <v>68</v>
      </c>
      <c r="V51" s="497">
        <v>110</v>
      </c>
      <c r="W51" s="1526">
        <v>103</v>
      </c>
      <c r="X51" s="1736">
        <v>106.5</v>
      </c>
      <c r="Y51" s="997">
        <f>3*'What If Data'!R34</f>
        <v>0</v>
      </c>
      <c r="AA51" s="461" t="s">
        <v>7</v>
      </c>
      <c r="AB51" s="1090">
        <f t="shared" si="12"/>
        <v>3077.2334665715052</v>
      </c>
      <c r="AC51" s="1090">
        <f t="shared" si="13"/>
        <v>3590.1057110000888</v>
      </c>
      <c r="AD51" s="1090">
        <f t="shared" si="14"/>
        <v>769.30836664287642</v>
      </c>
    </row>
    <row r="52" spans="1:30">
      <c r="A52" s="461" t="s">
        <v>9</v>
      </c>
      <c r="B52" s="523">
        <f t="shared" si="15"/>
        <v>0.13361597245522877</v>
      </c>
      <c r="C52" s="523">
        <f t="shared" si="16"/>
        <v>0.12911317271116265</v>
      </c>
      <c r="D52" s="523">
        <f t="shared" si="16"/>
        <v>0.12480724706295092</v>
      </c>
      <c r="K52" s="435">
        <f t="shared" si="17"/>
        <v>417.2</v>
      </c>
      <c r="L52" s="462">
        <f t="shared" si="18"/>
        <v>473.2</v>
      </c>
      <c r="M52" s="435">
        <f t="shared" si="19"/>
        <v>499.79999999999995</v>
      </c>
      <c r="O52" s="504">
        <f t="shared" si="20"/>
        <v>1.4</v>
      </c>
      <c r="Q52" s="461" t="s">
        <v>9</v>
      </c>
      <c r="R52" s="516">
        <v>73</v>
      </c>
      <c r="S52" s="516">
        <v>83</v>
      </c>
      <c r="T52" s="516">
        <v>76</v>
      </c>
      <c r="U52" s="497">
        <v>100</v>
      </c>
      <c r="V52" s="497">
        <v>122</v>
      </c>
      <c r="W52" s="1526">
        <v>116</v>
      </c>
      <c r="X52" s="1736">
        <v>119</v>
      </c>
      <c r="Y52" s="997">
        <f>3*'What If Data'!R35</f>
        <v>0</v>
      </c>
      <c r="AA52" s="461" t="s">
        <v>9</v>
      </c>
      <c r="AB52" s="1090">
        <f t="shared" si="12"/>
        <v>3077.2334665715057</v>
      </c>
      <c r="AC52" s="1090">
        <f t="shared" si="13"/>
        <v>3590.1057110000897</v>
      </c>
      <c r="AD52" s="1090">
        <f t="shared" si="14"/>
        <v>769.30836664287631</v>
      </c>
    </row>
    <row r="53" spans="1:30">
      <c r="A53" s="463" t="s">
        <v>5</v>
      </c>
      <c r="B53" s="523">
        <f t="shared" si="15"/>
        <v>2.3596812783984896E-2</v>
      </c>
      <c r="C53" s="523">
        <f t="shared" si="16"/>
        <v>2.3200134692048895E-2</v>
      </c>
      <c r="D53" s="523">
        <f t="shared" si="16"/>
        <v>2.0458883997411765E-2</v>
      </c>
      <c r="K53" s="435">
        <f t="shared" si="17"/>
        <v>43.4</v>
      </c>
      <c r="L53" s="462">
        <f t="shared" si="18"/>
        <v>50.4</v>
      </c>
      <c r="M53" s="435">
        <f t="shared" si="19"/>
        <v>44.8</v>
      </c>
      <c r="O53" s="504">
        <f t="shared" si="20"/>
        <v>1.4</v>
      </c>
      <c r="Q53" s="463" t="s">
        <v>5</v>
      </c>
      <c r="R53" s="443">
        <v>16</v>
      </c>
      <c r="S53" s="443">
        <v>17</v>
      </c>
      <c r="T53" s="443">
        <v>8</v>
      </c>
      <c r="U53" s="443">
        <v>16</v>
      </c>
      <c r="V53" s="443">
        <v>7</v>
      </c>
      <c r="W53" s="1521">
        <v>13</v>
      </c>
      <c r="X53" s="1738">
        <v>12</v>
      </c>
      <c r="Y53" s="997">
        <f>3*'What If Data'!R36</f>
        <v>0</v>
      </c>
      <c r="AA53" s="463" t="s">
        <v>5</v>
      </c>
      <c r="AB53" s="1090">
        <f t="shared" si="12"/>
        <v>3077.2334665715057</v>
      </c>
      <c r="AC53" s="1090">
        <f t="shared" si="13"/>
        <v>3590.1057110000897</v>
      </c>
      <c r="AD53" s="1090">
        <f t="shared" si="14"/>
        <v>769.30836664287642</v>
      </c>
    </row>
    <row r="54" spans="1:30">
      <c r="A54" s="461"/>
      <c r="B54" s="434"/>
      <c r="C54" s="434"/>
      <c r="D54" s="434"/>
      <c r="K54" s="434"/>
      <c r="L54" s="462"/>
      <c r="M54" s="435"/>
      <c r="Q54" s="461"/>
      <c r="R54" s="452"/>
      <c r="S54" s="452"/>
      <c r="T54" s="452"/>
      <c r="U54" s="516"/>
      <c r="V54" s="1181"/>
      <c r="W54" s="1181"/>
      <c r="X54" s="1181"/>
      <c r="Y54" s="516"/>
      <c r="AA54" s="461"/>
    </row>
    <row r="55" spans="1:30">
      <c r="A55" s="461" t="s">
        <v>516</v>
      </c>
      <c r="B55" s="523">
        <f t="shared" ref="B55:D59" si="21">G30/G$35</f>
        <v>0</v>
      </c>
      <c r="C55" s="523">
        <f t="shared" si="21"/>
        <v>0</v>
      </c>
      <c r="D55" s="523">
        <f t="shared" si="21"/>
        <v>0</v>
      </c>
      <c r="K55" s="435">
        <f>O55*(U55+V55+T55)</f>
        <v>0</v>
      </c>
      <c r="L55" s="462">
        <f>O55*(W55+U55+V55)</f>
        <v>0</v>
      </c>
      <c r="M55" s="435">
        <f>O55*(V55+W55+X55+Y55)</f>
        <v>0</v>
      </c>
      <c r="O55" s="504">
        <f>O53</f>
        <v>1.4</v>
      </c>
      <c r="Q55" s="461" t="s">
        <v>516</v>
      </c>
      <c r="R55" s="452"/>
      <c r="S55" s="452"/>
      <c r="T55" s="452"/>
      <c r="U55" s="516"/>
      <c r="V55" s="1181"/>
      <c r="W55" s="1181"/>
      <c r="X55" s="1181"/>
      <c r="Y55" s="516"/>
      <c r="AA55" s="461" t="s">
        <v>516</v>
      </c>
    </row>
    <row r="56" spans="1:30">
      <c r="A56" s="461" t="s">
        <v>537</v>
      </c>
      <c r="B56" s="523">
        <f t="shared" si="21"/>
        <v>0</v>
      </c>
      <c r="C56" s="523">
        <f t="shared" si="21"/>
        <v>0</v>
      </c>
      <c r="D56" s="523">
        <f t="shared" si="21"/>
        <v>0</v>
      </c>
      <c r="K56" s="435">
        <f>O56*(U56+V56+T56)</f>
        <v>0</v>
      </c>
      <c r="L56" s="462">
        <f>O56*(W56+U56+V56)</f>
        <v>0</v>
      </c>
      <c r="M56" s="435">
        <f>O56*(V56+W56+X56+Y56)</f>
        <v>0</v>
      </c>
      <c r="O56" s="504">
        <f>O55</f>
        <v>1.4</v>
      </c>
      <c r="Q56" s="461" t="s">
        <v>537</v>
      </c>
      <c r="R56" s="516"/>
      <c r="S56" s="516"/>
      <c r="T56" s="516"/>
      <c r="U56" s="508"/>
      <c r="V56" s="1182"/>
      <c r="W56" s="1182"/>
      <c r="X56" s="1182"/>
      <c r="Y56" s="508"/>
      <c r="AA56" s="461" t="s">
        <v>537</v>
      </c>
    </row>
    <row r="57" spans="1:30">
      <c r="A57" s="463" t="s">
        <v>518</v>
      </c>
      <c r="B57" s="523">
        <f t="shared" si="21"/>
        <v>3.7629468891404484E-4</v>
      </c>
      <c r="C57" s="523">
        <f t="shared" si="21"/>
        <v>3.4243741242876596E-4</v>
      </c>
      <c r="D57" s="523">
        <f t="shared" si="21"/>
        <v>3.2218714956553962E-4</v>
      </c>
      <c r="K57" s="435">
        <f>O57*(U57+V57+T57)</f>
        <v>0</v>
      </c>
      <c r="L57" s="462">
        <f>O57*(W57+U57+V57)</f>
        <v>0</v>
      </c>
      <c r="M57" s="435">
        <f>O57*(V57+W57+X57+Y57)</f>
        <v>0</v>
      </c>
      <c r="O57" s="504">
        <f>O56</f>
        <v>1.4</v>
      </c>
      <c r="Q57" s="463" t="s">
        <v>518</v>
      </c>
      <c r="R57" s="444"/>
      <c r="S57" s="444"/>
      <c r="T57" s="444"/>
      <c r="U57" s="577"/>
      <c r="V57" s="1183"/>
      <c r="W57" s="1183"/>
      <c r="X57" s="1183"/>
      <c r="Y57" s="997">
        <f>3*'What If Data'!R40</f>
        <v>0</v>
      </c>
      <c r="AA57" s="463" t="s">
        <v>518</v>
      </c>
    </row>
    <row r="58" spans="1:30">
      <c r="A58" s="461" t="s">
        <v>536</v>
      </c>
      <c r="B58" s="523">
        <f t="shared" si="21"/>
        <v>0</v>
      </c>
      <c r="C58" s="523">
        <f t="shared" si="21"/>
        <v>0</v>
      </c>
      <c r="D58" s="523">
        <f t="shared" si="21"/>
        <v>0</v>
      </c>
      <c r="K58" s="435">
        <f>O58*(U58+V58+T58)</f>
        <v>0</v>
      </c>
      <c r="L58" s="462">
        <f>O58*(W58+U58+V58)</f>
        <v>0</v>
      </c>
      <c r="M58" s="435">
        <f>O58*(V58+W58+X58+Y58)</f>
        <v>0</v>
      </c>
      <c r="O58" s="504">
        <f>O57</f>
        <v>1.4</v>
      </c>
      <c r="Q58" s="461" t="s">
        <v>536</v>
      </c>
      <c r="R58" s="516"/>
      <c r="S58" s="516"/>
      <c r="T58" s="516"/>
      <c r="U58" s="508"/>
      <c r="V58" s="1182"/>
      <c r="W58" s="1182"/>
      <c r="X58" s="1182"/>
      <c r="Y58" s="508"/>
      <c r="AA58" s="461" t="s">
        <v>536</v>
      </c>
    </row>
    <row r="59" spans="1:30">
      <c r="A59" s="467" t="s">
        <v>520</v>
      </c>
      <c r="B59" s="523">
        <f t="shared" si="21"/>
        <v>0</v>
      </c>
      <c r="C59" s="523">
        <f t="shared" si="21"/>
        <v>0</v>
      </c>
      <c r="D59" s="523">
        <f t="shared" si="21"/>
        <v>0</v>
      </c>
      <c r="K59" s="435">
        <f>O59*(U59+V59+T59)</f>
        <v>0</v>
      </c>
      <c r="L59" s="462">
        <f>O59*(W59+U59+V59)</f>
        <v>0</v>
      </c>
      <c r="M59" s="435">
        <f>O59*(V59+W59+X59+Y59)</f>
        <v>0</v>
      </c>
      <c r="O59" s="504">
        <f>O58</f>
        <v>1.4</v>
      </c>
      <c r="Q59" s="467" t="s">
        <v>520</v>
      </c>
      <c r="R59" s="452"/>
      <c r="S59" s="452"/>
      <c r="T59" s="452"/>
      <c r="U59" s="508"/>
      <c r="V59" s="1182"/>
      <c r="W59" s="1182"/>
      <c r="X59" s="1182"/>
      <c r="Y59" s="508"/>
      <c r="AA59" s="467" t="s">
        <v>520</v>
      </c>
    </row>
    <row r="60" spans="1:30">
      <c r="A60" s="468"/>
      <c r="B60" s="471">
        <f>SUM(B42:B59)</f>
        <v>0.99999999999999989</v>
      </c>
      <c r="C60" s="471">
        <f>SUM(C42:C59)</f>
        <v>1.0000000000000002</v>
      </c>
      <c r="D60" s="471">
        <f>SUM(D42:D59)</f>
        <v>1</v>
      </c>
      <c r="K60" s="447">
        <f>SUM(K42:K59)</f>
        <v>2098.6</v>
      </c>
      <c r="L60" s="447">
        <f>SUM(L42:L59)</f>
        <v>2346.3999999999996</v>
      </c>
      <c r="M60" s="447">
        <f>SUM(M42:M59)</f>
        <v>2514.586666666667</v>
      </c>
      <c r="Q60" s="446"/>
      <c r="R60" s="551">
        <f t="shared" ref="R60:X60" si="22">SUM(R42:R59)</f>
        <v>406</v>
      </c>
      <c r="S60" s="551">
        <f t="shared" si="22"/>
        <v>448</v>
      </c>
      <c r="T60" s="551">
        <f t="shared" si="22"/>
        <v>434</v>
      </c>
      <c r="U60" s="551">
        <f t="shared" si="22"/>
        <v>491</v>
      </c>
      <c r="V60" s="1184">
        <f t="shared" si="22"/>
        <v>574</v>
      </c>
      <c r="W60" s="1184">
        <f t="shared" si="22"/>
        <v>611</v>
      </c>
      <c r="X60" s="1212">
        <f t="shared" si="22"/>
        <v>611.13333333333333</v>
      </c>
      <c r="Y60" s="943"/>
      <c r="AA60" s="446"/>
    </row>
    <row r="61" spans="1:30">
      <c r="Q61" s="448"/>
      <c r="R61" s="516"/>
      <c r="S61" s="516"/>
      <c r="T61" s="516"/>
      <c r="U61" s="516"/>
      <c r="V61" s="516"/>
      <c r="W61" s="516"/>
      <c r="X61" s="516"/>
      <c r="Y61" s="516"/>
    </row>
    <row r="62" spans="1:30">
      <c r="E62" s="42"/>
    </row>
    <row r="63" spans="1:30">
      <c r="K63" s="458" t="s">
        <v>803</v>
      </c>
      <c r="L63" s="458"/>
      <c r="M63" s="458"/>
      <c r="Q63" s="549" t="s">
        <v>580</v>
      </c>
      <c r="R63" s="211"/>
      <c r="S63" s="211"/>
      <c r="T63" s="211"/>
      <c r="U63" s="211"/>
      <c r="V63" s="211"/>
      <c r="W63" s="211"/>
      <c r="X63" s="211"/>
      <c r="Y63" s="211"/>
    </row>
    <row r="64" spans="1:30" ht="25.5">
      <c r="K64" s="460" t="s">
        <v>879</v>
      </c>
      <c r="L64" s="460" t="s">
        <v>1689</v>
      </c>
      <c r="M64" s="460" t="s">
        <v>1593</v>
      </c>
      <c r="Q64" s="1730"/>
      <c r="R64" s="1731" t="s">
        <v>507</v>
      </c>
      <c r="S64" s="1731" t="s">
        <v>508</v>
      </c>
      <c r="T64" s="1732" t="s">
        <v>509</v>
      </c>
      <c r="U64" s="1731" t="s">
        <v>821</v>
      </c>
      <c r="V64" s="1731" t="s">
        <v>962</v>
      </c>
      <c r="W64" s="1731" t="s">
        <v>1473</v>
      </c>
      <c r="X64" s="1731" t="s">
        <v>1572</v>
      </c>
      <c r="Y64" s="1731"/>
    </row>
    <row r="65" spans="11:25">
      <c r="K65" s="435">
        <f>O65*(U65+V65+T65)</f>
        <v>213.29999999999998</v>
      </c>
      <c r="L65" s="462">
        <f>O65*(W65+U65+V65)</f>
        <v>212.4</v>
      </c>
      <c r="M65" s="435">
        <f>O65*(V65+W65+X65+Y65)</f>
        <v>207.49999999999997</v>
      </c>
      <c r="O65" s="504">
        <f>J4</f>
        <v>0.3</v>
      </c>
      <c r="Q65" s="461" t="s">
        <v>513</v>
      </c>
      <c r="R65" s="516">
        <v>185</v>
      </c>
      <c r="S65" s="516">
        <v>238</v>
      </c>
      <c r="T65" s="516">
        <v>221</v>
      </c>
      <c r="U65" s="497">
        <v>251</v>
      </c>
      <c r="V65" s="497">
        <v>239</v>
      </c>
      <c r="W65" s="1526">
        <v>218</v>
      </c>
      <c r="X65" s="1734">
        <v>234.66666666666666</v>
      </c>
      <c r="Y65" s="497">
        <f>3*'What If Data'!P25</f>
        <v>0</v>
      </c>
    </row>
    <row r="66" spans="11:25">
      <c r="K66" s="435">
        <f t="shared" ref="K66:K76" si="23">O66*(U66+V66+T66)</f>
        <v>204.6</v>
      </c>
      <c r="L66" s="462">
        <f t="shared" ref="L66:L76" si="24">O66*(W66+U66+V66)</f>
        <v>208.5</v>
      </c>
      <c r="M66" s="435">
        <f t="shared" ref="M66:M76" si="25">O66*(V66+W66+X66+Y66)</f>
        <v>201.6</v>
      </c>
      <c r="O66" s="504">
        <f>O65</f>
        <v>0.3</v>
      </c>
      <c r="Q66" s="461" t="s">
        <v>6</v>
      </c>
      <c r="R66" s="516">
        <v>241</v>
      </c>
      <c r="S66" s="516">
        <v>255</v>
      </c>
      <c r="T66" s="516">
        <v>245</v>
      </c>
      <c r="U66" s="497">
        <v>255</v>
      </c>
      <c r="V66" s="497">
        <v>182</v>
      </c>
      <c r="W66" s="1526">
        <v>258</v>
      </c>
      <c r="X66" s="1734">
        <v>232</v>
      </c>
      <c r="Y66" s="497">
        <f>3*'What If Data'!P26</f>
        <v>0</v>
      </c>
    </row>
    <row r="67" spans="11:25">
      <c r="K67" s="435">
        <f t="shared" si="23"/>
        <v>33.9</v>
      </c>
      <c r="L67" s="462">
        <f t="shared" si="24"/>
        <v>35.699999999999996</v>
      </c>
      <c r="M67" s="435">
        <f t="shared" si="25"/>
        <v>37.4</v>
      </c>
      <c r="O67" s="504">
        <f t="shared" ref="O67:O76" si="26">O66</f>
        <v>0.3</v>
      </c>
      <c r="Q67" s="461" t="s">
        <v>8</v>
      </c>
      <c r="R67" s="505">
        <v>35</v>
      </c>
      <c r="S67" s="505">
        <v>39</v>
      </c>
      <c r="T67" s="505">
        <v>35</v>
      </c>
      <c r="U67" s="508">
        <v>34</v>
      </c>
      <c r="V67" s="508">
        <v>44</v>
      </c>
      <c r="W67" s="1527">
        <v>41</v>
      </c>
      <c r="X67" s="1734">
        <v>39.666666666666664</v>
      </c>
      <c r="Y67" s="497">
        <f>3*'What If Data'!P27</f>
        <v>0</v>
      </c>
    </row>
    <row r="68" spans="11:25">
      <c r="K68" s="435">
        <f t="shared" si="23"/>
        <v>77.7</v>
      </c>
      <c r="L68" s="462">
        <f t="shared" si="24"/>
        <v>81.899999999999991</v>
      </c>
      <c r="M68" s="435">
        <f t="shared" si="25"/>
        <v>82.100000000000009</v>
      </c>
      <c r="O68" s="504">
        <f t="shared" si="26"/>
        <v>0.3</v>
      </c>
      <c r="Q68" s="463" t="s">
        <v>2</v>
      </c>
      <c r="R68" s="443">
        <v>82</v>
      </c>
      <c r="S68" s="443">
        <v>75</v>
      </c>
      <c r="T68" s="443">
        <v>85</v>
      </c>
      <c r="U68" s="577">
        <v>90</v>
      </c>
      <c r="V68" s="577">
        <v>84</v>
      </c>
      <c r="W68" s="1528">
        <v>99</v>
      </c>
      <c r="X68" s="1735">
        <v>90.666666666666671</v>
      </c>
      <c r="Y68" s="497">
        <f>3*'What If Data'!P28</f>
        <v>0</v>
      </c>
    </row>
    <row r="69" spans="11:25">
      <c r="K69" s="435">
        <f t="shared" si="23"/>
        <v>20.7</v>
      </c>
      <c r="L69" s="462">
        <f t="shared" si="24"/>
        <v>21.3</v>
      </c>
      <c r="M69" s="435">
        <f t="shared" si="25"/>
        <v>20</v>
      </c>
      <c r="O69" s="504">
        <f t="shared" si="26"/>
        <v>0.3</v>
      </c>
      <c r="Q69" s="461" t="s">
        <v>10</v>
      </c>
      <c r="R69" s="516">
        <v>15</v>
      </c>
      <c r="S69" s="516">
        <v>19</v>
      </c>
      <c r="T69" s="516">
        <v>22</v>
      </c>
      <c r="U69" s="508">
        <v>28</v>
      </c>
      <c r="V69" s="508">
        <v>19</v>
      </c>
      <c r="W69" s="1527">
        <v>24</v>
      </c>
      <c r="X69" s="1734">
        <v>23.666666666666668</v>
      </c>
      <c r="Y69" s="497">
        <f>3*'What If Data'!P29</f>
        <v>0</v>
      </c>
    </row>
    <row r="70" spans="11:25">
      <c r="K70" s="435">
        <f t="shared" si="23"/>
        <v>224.7</v>
      </c>
      <c r="L70" s="462">
        <f t="shared" si="24"/>
        <v>223.2</v>
      </c>
      <c r="M70" s="435">
        <f t="shared" si="25"/>
        <v>222</v>
      </c>
      <c r="O70" s="504">
        <f t="shared" si="26"/>
        <v>0.3</v>
      </c>
      <c r="Q70" s="461" t="s">
        <v>4</v>
      </c>
      <c r="R70" s="516">
        <v>221</v>
      </c>
      <c r="S70" s="516">
        <v>221</v>
      </c>
      <c r="T70" s="516">
        <v>256</v>
      </c>
      <c r="U70" s="497">
        <v>252</v>
      </c>
      <c r="V70" s="497">
        <v>241</v>
      </c>
      <c r="W70" s="1526">
        <v>251</v>
      </c>
      <c r="X70" s="1736">
        <v>248</v>
      </c>
      <c r="Y70" s="497">
        <f>3*'What If Data'!P30</f>
        <v>0</v>
      </c>
    </row>
    <row r="71" spans="11:25">
      <c r="K71" s="435">
        <f t="shared" si="23"/>
        <v>9.2999999999999989</v>
      </c>
      <c r="L71" s="462">
        <f t="shared" si="24"/>
        <v>8.1</v>
      </c>
      <c r="M71" s="435">
        <f t="shared" si="25"/>
        <v>8.6999999999999993</v>
      </c>
      <c r="O71" s="504">
        <f>O70</f>
        <v>0.3</v>
      </c>
      <c r="Q71" s="461" t="s">
        <v>14</v>
      </c>
      <c r="R71" s="452">
        <v>6</v>
      </c>
      <c r="S71" s="452">
        <v>6</v>
      </c>
      <c r="T71" s="452">
        <v>10</v>
      </c>
      <c r="U71" s="508">
        <v>7</v>
      </c>
      <c r="V71" s="508">
        <v>14</v>
      </c>
      <c r="W71" s="1527">
        <v>6</v>
      </c>
      <c r="X71" s="1734">
        <v>9</v>
      </c>
      <c r="Y71" s="497">
        <f>3*'What If Data'!P31</f>
        <v>0</v>
      </c>
    </row>
    <row r="72" spans="11:25">
      <c r="K72" s="435">
        <f t="shared" si="23"/>
        <v>420.3</v>
      </c>
      <c r="L72" s="462">
        <f t="shared" si="24"/>
        <v>419.4</v>
      </c>
      <c r="M72" s="435">
        <f t="shared" si="25"/>
        <v>421.8</v>
      </c>
      <c r="O72" s="504">
        <f t="shared" si="26"/>
        <v>0.3</v>
      </c>
      <c r="Q72" s="463" t="s">
        <v>17</v>
      </c>
      <c r="R72" s="443">
        <v>405</v>
      </c>
      <c r="S72" s="443">
        <v>453</v>
      </c>
      <c r="T72" s="443">
        <v>464</v>
      </c>
      <c r="U72" s="573">
        <v>458</v>
      </c>
      <c r="V72" s="573">
        <v>479</v>
      </c>
      <c r="W72" s="1529">
        <v>461</v>
      </c>
      <c r="X72" s="1737">
        <v>466</v>
      </c>
      <c r="Y72" s="497">
        <f>3*'What If Data'!P32</f>
        <v>0</v>
      </c>
    </row>
    <row r="73" spans="11:25">
      <c r="K73" s="435">
        <f t="shared" si="23"/>
        <v>6</v>
      </c>
      <c r="L73" s="462">
        <f t="shared" si="24"/>
        <v>5.3999999999999995</v>
      </c>
      <c r="M73" s="435">
        <f t="shared" si="25"/>
        <v>5.3999999999999995</v>
      </c>
      <c r="O73" s="504">
        <f t="shared" si="26"/>
        <v>0.3</v>
      </c>
      <c r="Q73" s="461" t="s">
        <v>316</v>
      </c>
      <c r="R73" s="452">
        <v>5</v>
      </c>
      <c r="S73" s="452">
        <v>8</v>
      </c>
      <c r="T73" s="452">
        <v>10</v>
      </c>
      <c r="U73" s="508">
        <v>6</v>
      </c>
      <c r="V73" s="508">
        <v>4</v>
      </c>
      <c r="W73" s="1527">
        <v>8</v>
      </c>
      <c r="X73" s="1734">
        <v>6</v>
      </c>
      <c r="Y73" s="497">
        <f>3*'What If Data'!P33</f>
        <v>0</v>
      </c>
    </row>
    <row r="74" spans="11:25">
      <c r="K74" s="435">
        <f t="shared" si="23"/>
        <v>314.7</v>
      </c>
      <c r="L74" s="462">
        <f t="shared" si="24"/>
        <v>323.09999999999997</v>
      </c>
      <c r="M74" s="435">
        <f t="shared" si="25"/>
        <v>328.5</v>
      </c>
      <c r="O74" s="504">
        <f t="shared" si="26"/>
        <v>0.3</v>
      </c>
      <c r="Q74" s="461" t="s">
        <v>7</v>
      </c>
      <c r="R74" s="516">
        <v>282</v>
      </c>
      <c r="S74" s="516">
        <v>365</v>
      </c>
      <c r="T74" s="516">
        <v>333</v>
      </c>
      <c r="U74" s="497">
        <v>341</v>
      </c>
      <c r="V74" s="497">
        <v>375</v>
      </c>
      <c r="W74" s="1526">
        <v>361</v>
      </c>
      <c r="X74" s="1736">
        <v>359</v>
      </c>
      <c r="Y74" s="497">
        <f>3*'What If Data'!P34</f>
        <v>0</v>
      </c>
    </row>
    <row r="75" spans="11:25">
      <c r="K75" s="435">
        <f t="shared" si="23"/>
        <v>357</v>
      </c>
      <c r="L75" s="462">
        <f t="shared" si="24"/>
        <v>357.3</v>
      </c>
      <c r="M75" s="435">
        <f t="shared" si="25"/>
        <v>350.7</v>
      </c>
      <c r="O75" s="504">
        <f t="shared" si="26"/>
        <v>0.3</v>
      </c>
      <c r="Q75" s="461" t="s">
        <v>9</v>
      </c>
      <c r="R75" s="516">
        <v>329</v>
      </c>
      <c r="S75" s="516">
        <v>384</v>
      </c>
      <c r="T75" s="516">
        <v>357</v>
      </c>
      <c r="U75" s="497">
        <v>419</v>
      </c>
      <c r="V75" s="497">
        <v>414</v>
      </c>
      <c r="W75" s="1526">
        <v>358</v>
      </c>
      <c r="X75" s="1736">
        <v>397</v>
      </c>
      <c r="Y75" s="497">
        <f>3*'What If Data'!P35</f>
        <v>0</v>
      </c>
    </row>
    <row r="76" spans="11:25">
      <c r="K76" s="435">
        <f t="shared" si="23"/>
        <v>67.5</v>
      </c>
      <c r="L76" s="462">
        <f t="shared" si="24"/>
        <v>69</v>
      </c>
      <c r="M76" s="435">
        <f t="shared" si="25"/>
        <v>69.8</v>
      </c>
      <c r="O76" s="504">
        <f t="shared" si="26"/>
        <v>0.3</v>
      </c>
      <c r="Q76" s="463" t="s">
        <v>5</v>
      </c>
      <c r="R76" s="443">
        <v>79</v>
      </c>
      <c r="S76" s="443">
        <v>72</v>
      </c>
      <c r="T76" s="443">
        <v>74</v>
      </c>
      <c r="U76" s="443">
        <v>74</v>
      </c>
      <c r="V76" s="443">
        <v>77</v>
      </c>
      <c r="W76" s="1521">
        <v>79</v>
      </c>
      <c r="X76" s="1738">
        <v>76.666666666666671</v>
      </c>
      <c r="Y76" s="497">
        <f>3*'What If Data'!P36</f>
        <v>0</v>
      </c>
    </row>
    <row r="77" spans="11:25">
      <c r="K77" s="434"/>
      <c r="L77" s="462"/>
      <c r="M77" s="435"/>
      <c r="Q77" s="461"/>
      <c r="R77" s="452"/>
      <c r="S77" s="452"/>
      <c r="T77" s="452"/>
      <c r="U77" s="516"/>
      <c r="V77" s="516"/>
      <c r="W77" s="1181"/>
      <c r="X77" s="1181"/>
      <c r="Y77" s="516"/>
    </row>
    <row r="78" spans="11:25">
      <c r="K78" s="435">
        <f>O78*(U78+V78+T78)</f>
        <v>0</v>
      </c>
      <c r="L78" s="462">
        <f>O78*(W78+U78+V78)</f>
        <v>0</v>
      </c>
      <c r="M78" s="435">
        <f>O78*(V78+W78+X78+Y78)</f>
        <v>0</v>
      </c>
      <c r="O78" s="504">
        <f>O76</f>
        <v>0.3</v>
      </c>
      <c r="Q78" s="461" t="s">
        <v>516</v>
      </c>
      <c r="R78" s="452"/>
      <c r="S78" s="452"/>
      <c r="T78" s="452"/>
      <c r="U78" s="516"/>
      <c r="V78" s="516"/>
      <c r="W78" s="1181"/>
      <c r="X78" s="1181"/>
      <c r="Y78" s="516"/>
    </row>
    <row r="79" spans="11:25">
      <c r="K79" s="435">
        <f>O79*(U79+V79+T79)</f>
        <v>0</v>
      </c>
      <c r="L79" s="462">
        <f>O79*(W79+U79+V79)</f>
        <v>0</v>
      </c>
      <c r="M79" s="435">
        <f>O79*(V79+W79+X79+Y79)</f>
        <v>0</v>
      </c>
      <c r="O79" s="504">
        <f>O78</f>
        <v>0.3</v>
      </c>
      <c r="Q79" s="461" t="s">
        <v>537</v>
      </c>
      <c r="R79" s="516"/>
      <c r="S79" s="516"/>
      <c r="T79" s="516"/>
      <c r="U79" s="508"/>
      <c r="V79" s="508"/>
      <c r="W79" s="1182"/>
      <c r="X79" s="1182"/>
      <c r="Y79" s="508"/>
    </row>
    <row r="80" spans="11:25">
      <c r="K80" s="435">
        <f>O80*(U80+V80+T80)</f>
        <v>0</v>
      </c>
      <c r="L80" s="462">
        <f>O80*(W80+U80+V80)</f>
        <v>0</v>
      </c>
      <c r="M80" s="435">
        <f>O80*(V80+W80+X80+Y80)</f>
        <v>0</v>
      </c>
      <c r="O80" s="504">
        <f>O79</f>
        <v>0.3</v>
      </c>
      <c r="Q80" s="463" t="s">
        <v>518</v>
      </c>
      <c r="R80" s="444"/>
      <c r="S80" s="444"/>
      <c r="T80" s="444"/>
      <c r="U80" s="577"/>
      <c r="V80" s="577"/>
      <c r="W80" s="1183"/>
      <c r="X80" s="1183"/>
      <c r="Y80" s="497">
        <f>3*'What If Data'!P40</f>
        <v>0</v>
      </c>
    </row>
    <row r="81" spans="11:25">
      <c r="K81" s="435">
        <f>O81*(U81+V81+T81)</f>
        <v>0</v>
      </c>
      <c r="L81" s="462">
        <f>O81*(W81+U81+V81)</f>
        <v>0</v>
      </c>
      <c r="M81" s="435">
        <f>O81*(V81+W81+X81+Y81)</f>
        <v>0</v>
      </c>
      <c r="O81" s="504">
        <f>O80</f>
        <v>0.3</v>
      </c>
      <c r="Q81" s="461" t="s">
        <v>536</v>
      </c>
      <c r="R81" s="516"/>
      <c r="S81" s="516"/>
      <c r="T81" s="516"/>
      <c r="U81" s="508"/>
      <c r="V81" s="508"/>
      <c r="W81" s="1182"/>
      <c r="X81" s="1182"/>
      <c r="Y81" s="508"/>
    </row>
    <row r="82" spans="11:25">
      <c r="K82" s="435">
        <f>O82*(U82+V82+T82)</f>
        <v>0</v>
      </c>
      <c r="L82" s="462">
        <f>O82*(W82+U82+V82)</f>
        <v>0</v>
      </c>
      <c r="M82" s="435">
        <f>O82*(V82+W82+X82+Y82)</f>
        <v>0</v>
      </c>
      <c r="O82" s="504">
        <f>O81</f>
        <v>0.3</v>
      </c>
      <c r="Q82" s="467" t="s">
        <v>520</v>
      </c>
      <c r="R82" s="452"/>
      <c r="S82" s="452"/>
      <c r="T82" s="452"/>
      <c r="U82" s="508"/>
      <c r="V82" s="508"/>
      <c r="W82" s="1182"/>
      <c r="X82" s="1182"/>
      <c r="Y82" s="508"/>
    </row>
    <row r="83" spans="11:25">
      <c r="K83" s="447">
        <f>SUM(K65:K82)</f>
        <v>1949.7</v>
      </c>
      <c r="L83" s="447">
        <f>SUM(L65:L82)</f>
        <v>1965.3</v>
      </c>
      <c r="M83" s="447">
        <f>SUM(M65:M82)</f>
        <v>1955.5</v>
      </c>
      <c r="Q83" s="446"/>
      <c r="R83" s="551">
        <f t="shared" ref="R83:W83" si="27">SUM(R65:R82)</f>
        <v>1885</v>
      </c>
      <c r="S83" s="551">
        <f t="shared" si="27"/>
        <v>2135</v>
      </c>
      <c r="T83" s="551">
        <f t="shared" si="27"/>
        <v>2112</v>
      </c>
      <c r="U83" s="551">
        <f t="shared" si="27"/>
        <v>2215</v>
      </c>
      <c r="V83" s="551">
        <f t="shared" si="27"/>
        <v>2172</v>
      </c>
      <c r="W83" s="551">
        <f t="shared" si="27"/>
        <v>2164</v>
      </c>
      <c r="X83" s="1212">
        <f>SUM(X65:X82)</f>
        <v>2182.333333333333</v>
      </c>
      <c r="Y83" s="943"/>
    </row>
    <row r="84" spans="11:25">
      <c r="Q84" s="547"/>
      <c r="R84" s="548"/>
      <c r="S84" s="548"/>
      <c r="T84" s="548"/>
      <c r="U84" s="516"/>
      <c r="V84" s="516"/>
      <c r="W84" s="516"/>
      <c r="X84" s="516"/>
      <c r="Y84" s="516"/>
    </row>
    <row r="3822" spans="21:21">
      <c r="U3822" t="e">
        <f>SUM(U3822U3821)</f>
        <v>#NAME?</v>
      </c>
    </row>
  </sheetData>
  <pageMargins left="0.75" right="0.75" top="1" bottom="1" header="0.5" footer="0.5"/>
  <pageSetup orientation="portrait" horizontalDpi="4294967292" verticalDpi="429496729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8"/>
  <sheetViews>
    <sheetView workbookViewId="0">
      <selection activeCell="G18" sqref="G18"/>
    </sheetView>
  </sheetViews>
  <sheetFormatPr defaultColWidth="11" defaultRowHeight="15.75"/>
  <cols>
    <col min="1" max="1" width="21.375" customWidth="1"/>
    <col min="5" max="5" width="8.125" customWidth="1"/>
    <col min="10" max="10" width="11.875" customWidth="1"/>
  </cols>
  <sheetData>
    <row r="1" spans="1:19">
      <c r="A1" s="10" t="s">
        <v>625</v>
      </c>
      <c r="D1" s="42"/>
      <c r="I1" s="42"/>
    </row>
    <row r="2" spans="1:19">
      <c r="A2" s="10"/>
      <c r="D2" s="42"/>
      <c r="I2" s="42"/>
      <c r="K2" s="990"/>
    </row>
    <row r="3" spans="1:19">
      <c r="E3" s="148"/>
      <c r="F3" s="148"/>
      <c r="I3" s="421"/>
    </row>
    <row r="4" spans="1:19">
      <c r="E4" s="148"/>
      <c r="F4" s="148"/>
    </row>
    <row r="5" spans="1:19">
      <c r="E5" s="148"/>
      <c r="F5" s="148"/>
    </row>
    <row r="6" spans="1:19">
      <c r="D6" s="42"/>
    </row>
    <row r="7" spans="1:19">
      <c r="D7" s="42"/>
      <c r="E7" s="10"/>
    </row>
    <row r="8" spans="1:19" ht="16.5" thickBot="1">
      <c r="D8" s="42"/>
    </row>
    <row r="9" spans="1:19" ht="16.5" thickBot="1">
      <c r="A9" s="477" t="s">
        <v>626</v>
      </c>
      <c r="B9" s="478"/>
      <c r="C9" s="479">
        <f>'Dashboard-Academic Allocation'!D39</f>
        <v>795922.87451591121</v>
      </c>
      <c r="D9" s="42"/>
    </row>
    <row r="10" spans="1:19">
      <c r="D10" s="42"/>
    </row>
    <row r="11" spans="1:19">
      <c r="D11" s="42"/>
    </row>
    <row r="12" spans="1:19">
      <c r="D12" s="42"/>
      <c r="J12" s="434"/>
      <c r="K12" s="434"/>
      <c r="L12" s="434"/>
      <c r="M12" s="434"/>
      <c r="N12" s="434"/>
    </row>
    <row r="13" spans="1:19">
      <c r="D13" s="42"/>
      <c r="K13" t="s">
        <v>1690</v>
      </c>
      <c r="N13" s="455">
        <v>0</v>
      </c>
      <c r="O13" s="455">
        <v>20</v>
      </c>
      <c r="P13" s="455">
        <v>164</v>
      </c>
      <c r="Q13" s="1525">
        <v>262</v>
      </c>
      <c r="R13" s="1525">
        <v>304</v>
      </c>
    </row>
    <row r="14" spans="1:19">
      <c r="D14" s="42"/>
    </row>
    <row r="15" spans="1:19">
      <c r="A15" s="458" t="s">
        <v>556</v>
      </c>
      <c r="B15" s="211"/>
      <c r="C15" s="211"/>
      <c r="D15" s="211"/>
      <c r="E15" s="42"/>
      <c r="F15" s="458" t="s">
        <v>628</v>
      </c>
      <c r="G15" s="458"/>
      <c r="H15" s="458"/>
      <c r="I15" s="458"/>
      <c r="K15" s="537" t="s">
        <v>627</v>
      </c>
      <c r="L15" s="536"/>
      <c r="M15" s="536"/>
      <c r="N15" s="536"/>
      <c r="O15" s="536"/>
    </row>
    <row r="16" spans="1:19" ht="25.5">
      <c r="A16" s="459"/>
      <c r="B16" s="460" t="s">
        <v>802</v>
      </c>
      <c r="C16" s="460" t="s">
        <v>878</v>
      </c>
      <c r="D16" s="460" t="s">
        <v>1251</v>
      </c>
      <c r="E16" s="476"/>
      <c r="F16" s="459"/>
      <c r="G16" s="460" t="s">
        <v>800</v>
      </c>
      <c r="H16" s="460" t="s">
        <v>877</v>
      </c>
      <c r="I16" s="460" t="s">
        <v>1594</v>
      </c>
      <c r="K16" s="480"/>
      <c r="L16" s="495" t="s">
        <v>0</v>
      </c>
      <c r="M16" s="495" t="s">
        <v>12</v>
      </c>
      <c r="N16" s="495" t="s">
        <v>545</v>
      </c>
      <c r="O16" s="495" t="s">
        <v>828</v>
      </c>
      <c r="P16" s="495" t="s">
        <v>962</v>
      </c>
      <c r="Q16" s="996" t="s">
        <v>1475</v>
      </c>
      <c r="R16" s="996" t="s">
        <v>1571</v>
      </c>
      <c r="S16" s="996" t="s">
        <v>970</v>
      </c>
    </row>
    <row r="17" spans="1:19">
      <c r="A17" s="461" t="s">
        <v>513</v>
      </c>
      <c r="B17" s="435">
        <f t="shared" ref="B17:B28" si="0">G17*C$9</f>
        <v>39779.779962806613</v>
      </c>
      <c r="C17" s="435">
        <f>H17*C$9</f>
        <v>41053.416535788623</v>
      </c>
      <c r="D17" s="435">
        <f t="shared" ref="D17:D28" si="1">I17*C$9</f>
        <v>38360.384450288882</v>
      </c>
      <c r="E17" s="42"/>
      <c r="F17" s="461" t="s">
        <v>513</v>
      </c>
      <c r="G17" s="523">
        <f>(P18+N18+O18)/(O$36+P$36+N$36)</f>
        <v>4.9979440516772562E-2</v>
      </c>
      <c r="H17" s="523">
        <f t="shared" ref="H17:H25" si="2">(Q18+O18+P18)/(P$36+Q$36+O$36)</f>
        <v>5.1579641508302861E-2</v>
      </c>
      <c r="I17" s="523">
        <f t="shared" ref="I17:I25" si="3">(R18+P18+Q18)/(Q$36+R$36+P$36)</f>
        <v>4.8196107535695691E-2</v>
      </c>
    </row>
    <row r="18" spans="1:19">
      <c r="A18" s="461" t="s">
        <v>6</v>
      </c>
      <c r="B18" s="435">
        <f t="shared" si="0"/>
        <v>120363.39473353454</v>
      </c>
      <c r="C18" s="435">
        <f t="shared" ref="C18:C28" si="4">H18*C$9</f>
        <v>112071.43742359403</v>
      </c>
      <c r="D18" s="435">
        <f t="shared" si="1"/>
        <v>100498.74105926062</v>
      </c>
      <c r="E18" s="42"/>
      <c r="F18" s="461" t="s">
        <v>6</v>
      </c>
      <c r="G18" s="523">
        <f t="shared" ref="G18:G25" si="5">(P19+N19+O19)/(O$36+P$36+N$36)</f>
        <v>0.15122494727487365</v>
      </c>
      <c r="H18" s="523">
        <f t="shared" si="2"/>
        <v>0.14080690606078772</v>
      </c>
      <c r="I18" s="523">
        <f t="shared" si="3"/>
        <v>0.12626693399204669</v>
      </c>
      <c r="K18" s="461" t="s">
        <v>513</v>
      </c>
      <c r="L18" s="435">
        <v>688</v>
      </c>
      <c r="M18" s="435">
        <v>684</v>
      </c>
      <c r="N18" s="435">
        <v>982</v>
      </c>
      <c r="O18" s="435">
        <v>1467</v>
      </c>
      <c r="P18" s="435">
        <v>1319</v>
      </c>
      <c r="Q18" s="435">
        <v>1516</v>
      </c>
      <c r="R18" s="1636">
        <v>1516</v>
      </c>
      <c r="S18" s="202">
        <f>D17/((Q18+P18+R18)/3)</f>
        <v>26.449357239914193</v>
      </c>
    </row>
    <row r="19" spans="1:19">
      <c r="A19" s="461" t="s">
        <v>8</v>
      </c>
      <c r="B19" s="435">
        <f t="shared" si="0"/>
        <v>135650.3165451439</v>
      </c>
      <c r="C19" s="435">
        <f t="shared" si="4"/>
        <v>130584.60062197385</v>
      </c>
      <c r="D19" s="435">
        <f t="shared" si="1"/>
        <v>125881.30755716495</v>
      </c>
      <c r="E19" s="42"/>
      <c r="F19" s="461" t="s">
        <v>8</v>
      </c>
      <c r="G19" s="523">
        <f t="shared" si="5"/>
        <v>0.17043148386412171</v>
      </c>
      <c r="H19" s="523">
        <f t="shared" si="2"/>
        <v>0.16406690246388106</v>
      </c>
      <c r="I19" s="523">
        <f t="shared" si="3"/>
        <v>0.15815767028146704</v>
      </c>
      <c r="K19" s="461" t="s">
        <v>6</v>
      </c>
      <c r="L19" s="435">
        <v>2159</v>
      </c>
      <c r="M19" s="435">
        <v>2901</v>
      </c>
      <c r="N19" s="435">
        <v>3560</v>
      </c>
      <c r="O19" s="435">
        <v>4003</v>
      </c>
      <c r="P19" s="435">
        <v>3838</v>
      </c>
      <c r="Q19" s="435">
        <v>3903</v>
      </c>
      <c r="R19" s="1636">
        <v>3658</v>
      </c>
      <c r="S19" s="202">
        <f t="shared" ref="S19:S29" si="6">D18/((Q19+P19+R19)/3)</f>
        <v>26.449357239914193</v>
      </c>
    </row>
    <row r="20" spans="1:19">
      <c r="A20" s="463" t="s">
        <v>2</v>
      </c>
      <c r="B20" s="435">
        <f t="shared" si="0"/>
        <v>39125.229443248754</v>
      </c>
      <c r="C20" s="435">
        <f t="shared" si="4"/>
        <v>32426.664200048755</v>
      </c>
      <c r="D20" s="435">
        <f t="shared" si="1"/>
        <v>31360.121234124927</v>
      </c>
      <c r="E20" s="42"/>
      <c r="F20" s="463" t="s">
        <v>2</v>
      </c>
      <c r="G20" s="524">
        <f t="shared" si="5"/>
        <v>4.9157061187674919E-2</v>
      </c>
      <c r="H20" s="524">
        <f t="shared" si="2"/>
        <v>4.0740962772016068E-2</v>
      </c>
      <c r="I20" s="524">
        <f t="shared" si="3"/>
        <v>3.9400954838995535E-2</v>
      </c>
      <c r="K20" s="461" t="s">
        <v>8</v>
      </c>
      <c r="L20" s="435">
        <v>3681</v>
      </c>
      <c r="M20" s="435">
        <v>3850</v>
      </c>
      <c r="N20" s="435">
        <v>3849</v>
      </c>
      <c r="O20" s="435">
        <v>4149</v>
      </c>
      <c r="P20" s="435">
        <v>4851</v>
      </c>
      <c r="Q20" s="435">
        <v>4684</v>
      </c>
      <c r="R20" s="1636">
        <v>4743</v>
      </c>
      <c r="S20" s="202">
        <f t="shared" si="6"/>
        <v>26.449357239914196</v>
      </c>
    </row>
    <row r="21" spans="1:19">
      <c r="A21" s="461" t="s">
        <v>10</v>
      </c>
      <c r="B21" s="435">
        <f t="shared" si="0"/>
        <v>0</v>
      </c>
      <c r="C21" s="435">
        <f t="shared" si="4"/>
        <v>0</v>
      </c>
      <c r="D21" s="435">
        <f t="shared" si="1"/>
        <v>0</v>
      </c>
      <c r="E21" s="42"/>
      <c r="F21" s="461" t="s">
        <v>10</v>
      </c>
      <c r="G21" s="523">
        <f t="shared" si="5"/>
        <v>0</v>
      </c>
      <c r="H21" s="523">
        <f t="shared" si="2"/>
        <v>0</v>
      </c>
      <c r="I21" s="523">
        <f t="shared" si="3"/>
        <v>0</v>
      </c>
      <c r="K21" s="463" t="s">
        <v>2</v>
      </c>
      <c r="L21" s="443">
        <v>877</v>
      </c>
      <c r="M21" s="443">
        <v>1156</v>
      </c>
      <c r="N21" s="443">
        <v>1533</v>
      </c>
      <c r="O21" s="443">
        <v>1238</v>
      </c>
      <c r="P21" s="443">
        <v>935</v>
      </c>
      <c r="Q21" s="443">
        <v>1225</v>
      </c>
      <c r="R21" s="1639">
        <v>1397</v>
      </c>
      <c r="S21" s="202">
        <f t="shared" si="6"/>
        <v>26.449357239914189</v>
      </c>
    </row>
    <row r="22" spans="1:19">
      <c r="A22" s="461" t="s">
        <v>4</v>
      </c>
      <c r="B22" s="435">
        <f t="shared" si="0"/>
        <v>85439.957335189465</v>
      </c>
      <c r="C22" s="435">
        <f t="shared" si="4"/>
        <v>107834.40419674835</v>
      </c>
      <c r="D22" s="435">
        <f t="shared" si="1"/>
        <v>126886.38313228168</v>
      </c>
      <c r="E22" s="42"/>
      <c r="F22" s="461" t="s">
        <v>4</v>
      </c>
      <c r="G22" s="523">
        <f t="shared" si="5"/>
        <v>0.10734703081269648</v>
      </c>
      <c r="H22" s="523">
        <f t="shared" si="2"/>
        <v>0.13548348420358491</v>
      </c>
      <c r="I22" s="523">
        <f t="shared" si="3"/>
        <v>0.1594204503915726</v>
      </c>
      <c r="K22" s="461" t="s">
        <v>10</v>
      </c>
      <c r="L22" s="434">
        <v>0</v>
      </c>
      <c r="M22" s="434">
        <v>0</v>
      </c>
      <c r="N22" s="434">
        <v>0</v>
      </c>
      <c r="O22" s="434">
        <v>0</v>
      </c>
      <c r="P22" s="434">
        <v>0</v>
      </c>
      <c r="Q22" s="434">
        <v>0</v>
      </c>
      <c r="R22" s="1636">
        <v>0</v>
      </c>
      <c r="S22" s="202"/>
    </row>
    <row r="23" spans="1:19">
      <c r="A23" s="461" t="s">
        <v>14</v>
      </c>
      <c r="B23" s="435">
        <f t="shared" si="0"/>
        <v>0</v>
      </c>
      <c r="C23" s="435">
        <f t="shared" si="4"/>
        <v>0</v>
      </c>
      <c r="D23" s="435">
        <f t="shared" si="1"/>
        <v>0</v>
      </c>
      <c r="E23" s="42"/>
      <c r="F23" s="461" t="s">
        <v>14</v>
      </c>
      <c r="G23" s="523">
        <f t="shared" si="5"/>
        <v>0</v>
      </c>
      <c r="H23" s="523">
        <f t="shared" si="2"/>
        <v>0</v>
      </c>
      <c r="I23" s="523">
        <f t="shared" si="3"/>
        <v>0</v>
      </c>
      <c r="K23" s="461" t="s">
        <v>4</v>
      </c>
      <c r="L23" s="435">
        <v>1511</v>
      </c>
      <c r="M23" s="435">
        <v>1779</v>
      </c>
      <c r="N23" s="435">
        <v>1854</v>
      </c>
      <c r="O23" s="435">
        <v>2452</v>
      </c>
      <c r="P23" s="435">
        <v>3787</v>
      </c>
      <c r="Q23" s="435">
        <v>5061</v>
      </c>
      <c r="R23" s="1636">
        <v>5544</v>
      </c>
      <c r="S23" s="202">
        <f t="shared" si="6"/>
        <v>26.449357239914193</v>
      </c>
    </row>
    <row r="24" spans="1:19">
      <c r="A24" s="463" t="s">
        <v>17</v>
      </c>
      <c r="B24" s="435">
        <f t="shared" si="0"/>
        <v>138564.12208382081</v>
      </c>
      <c r="C24" s="435">
        <f t="shared" si="4"/>
        <v>140184.72545577286</v>
      </c>
      <c r="D24" s="435">
        <f t="shared" si="1"/>
        <v>149756.26069239416</v>
      </c>
      <c r="E24" s="42"/>
      <c r="F24" s="463" t="s">
        <v>17</v>
      </c>
      <c r="G24" s="524">
        <f t="shared" si="5"/>
        <v>0.17409239829687895</v>
      </c>
      <c r="H24" s="524">
        <f t="shared" si="2"/>
        <v>0.1761285294646604</v>
      </c>
      <c r="I24" s="524">
        <f t="shared" si="3"/>
        <v>0.18815423640572904</v>
      </c>
      <c r="K24" s="461" t="s">
        <v>14</v>
      </c>
      <c r="L24" s="434">
        <v>0</v>
      </c>
      <c r="M24" s="434">
        <v>0</v>
      </c>
      <c r="N24" s="434">
        <v>0</v>
      </c>
      <c r="O24" s="434">
        <v>0</v>
      </c>
      <c r="P24" s="434">
        <v>0</v>
      </c>
      <c r="Q24" s="434">
        <v>0</v>
      </c>
      <c r="R24" s="1636">
        <v>0</v>
      </c>
      <c r="S24" s="202"/>
    </row>
    <row r="25" spans="1:19">
      <c r="A25" s="461" t="s">
        <v>316</v>
      </c>
      <c r="B25" s="435">
        <f t="shared" si="0"/>
        <v>0</v>
      </c>
      <c r="C25" s="435">
        <f t="shared" si="4"/>
        <v>0</v>
      </c>
      <c r="D25" s="435">
        <f t="shared" si="1"/>
        <v>0</v>
      </c>
      <c r="E25" s="42"/>
      <c r="F25" s="461" t="s">
        <v>316</v>
      </c>
      <c r="G25" s="523">
        <f t="shared" si="5"/>
        <v>0</v>
      </c>
      <c r="H25" s="523">
        <f t="shared" si="2"/>
        <v>0</v>
      </c>
      <c r="I25" s="523">
        <f t="shared" si="3"/>
        <v>0</v>
      </c>
      <c r="K25" s="463" t="s">
        <v>17</v>
      </c>
      <c r="L25" s="443">
        <v>3482</v>
      </c>
      <c r="M25" s="443">
        <v>3799</v>
      </c>
      <c r="N25" s="443">
        <v>3771</v>
      </c>
      <c r="O25" s="443">
        <v>4498</v>
      </c>
      <c r="P25" s="443">
        <v>4856</v>
      </c>
      <c r="Q25" s="443">
        <v>5336</v>
      </c>
      <c r="R25" s="1639">
        <v>6794</v>
      </c>
      <c r="S25" s="202">
        <f t="shared" si="6"/>
        <v>26.449357239914193</v>
      </c>
    </row>
    <row r="26" spans="1:19">
      <c r="A26" s="461" t="s">
        <v>7</v>
      </c>
      <c r="B26" s="435">
        <f t="shared" si="0"/>
        <v>73193.528259590836</v>
      </c>
      <c r="C26" s="435">
        <f t="shared" si="4"/>
        <v>82898.891084703806</v>
      </c>
      <c r="D26" s="435">
        <f t="shared" si="1"/>
        <v>87406.309225503108</v>
      </c>
      <c r="E26" s="42"/>
      <c r="F26" s="461" t="s">
        <v>7</v>
      </c>
      <c r="G26" s="523">
        <f>(P27+N27+O27)/(O$36+P$36+N$36)</f>
        <v>9.196057884893423E-2</v>
      </c>
      <c r="H26" s="523">
        <f>(Q27+O27+P27)/(P$36+Q$36+O$36)</f>
        <v>0.10415442719261435</v>
      </c>
      <c r="I26" s="523">
        <f>(R27+P27+Q27)/(Q$36+R$36+P$36)</f>
        <v>0.10981756150514528</v>
      </c>
      <c r="K26" s="461" t="s">
        <v>316</v>
      </c>
      <c r="L26" s="434">
        <v>0</v>
      </c>
      <c r="M26" s="434">
        <v>0</v>
      </c>
      <c r="N26" s="434">
        <v>0</v>
      </c>
      <c r="O26" s="434">
        <v>0</v>
      </c>
      <c r="P26" s="434">
        <v>0</v>
      </c>
      <c r="Q26" s="434">
        <v>0</v>
      </c>
      <c r="R26" s="1636">
        <v>0</v>
      </c>
      <c r="S26" s="202"/>
    </row>
    <row r="27" spans="1:19">
      <c r="A27" s="461" t="s">
        <v>9</v>
      </c>
      <c r="B27" s="435">
        <f t="shared" si="0"/>
        <v>144919.59648339872</v>
      </c>
      <c r="C27" s="435">
        <f t="shared" si="4"/>
        <v>133647.86113057175</v>
      </c>
      <c r="D27" s="435">
        <f t="shared" si="1"/>
        <v>120018.3667023173</v>
      </c>
      <c r="E27" s="42"/>
      <c r="F27" s="461" t="s">
        <v>9</v>
      </c>
      <c r="G27" s="523">
        <f>(P28+N28+O28+P13+O13+N13)/(O$36+P$36+N$36)</f>
        <v>0.18207743629876244</v>
      </c>
      <c r="H27" s="523">
        <f>(Q28+O28+P28+Q13+P13+O13)/(P$36+Q$36+O$36)</f>
        <v>0.16791559259037228</v>
      </c>
      <c r="I27" s="523">
        <f>(R28+P28+Q28+R13+Q13+P13)/(Q$36+R$36+P$36)</f>
        <v>0.15079145297251792</v>
      </c>
      <c r="K27" s="461" t="s">
        <v>7</v>
      </c>
      <c r="L27" s="435">
        <v>754</v>
      </c>
      <c r="M27" s="435">
        <v>803</v>
      </c>
      <c r="N27" s="435">
        <v>1591</v>
      </c>
      <c r="O27" s="435">
        <v>2371</v>
      </c>
      <c r="P27" s="435">
        <v>2971</v>
      </c>
      <c r="Q27" s="435">
        <v>3345</v>
      </c>
      <c r="R27" s="1636">
        <v>3598</v>
      </c>
      <c r="S27" s="202">
        <f t="shared" si="6"/>
        <v>26.449357239914196</v>
      </c>
    </row>
    <row r="28" spans="1:19">
      <c r="A28" s="463" t="s">
        <v>5</v>
      </c>
      <c r="B28" s="435">
        <f t="shared" si="0"/>
        <v>14885.745686719036</v>
      </c>
      <c r="C28" s="435">
        <f t="shared" si="4"/>
        <v>10812.069022558928</v>
      </c>
      <c r="D28" s="435">
        <f t="shared" si="1"/>
        <v>11073.464231110742</v>
      </c>
      <c r="E28" s="42"/>
      <c r="F28" s="463" t="s">
        <v>5</v>
      </c>
      <c r="G28" s="524">
        <f>(P29+N29+O29)/(O$36+P$36+N$36)</f>
        <v>1.8702497645607566E-2</v>
      </c>
      <c r="H28" s="524">
        <f>(Q29+O29+P29)/(P$36+Q$36+O$36)</f>
        <v>1.3584317486961213E-2</v>
      </c>
      <c r="I28" s="524">
        <f>(R29+P29+Q29)/(Q$36+R$36+P$36)</f>
        <v>1.39127352481806E-2</v>
      </c>
      <c r="K28" s="461" t="s">
        <v>9</v>
      </c>
      <c r="L28" s="435">
        <v>3691</v>
      </c>
      <c r="M28" s="435">
        <v>4412</v>
      </c>
      <c r="N28" s="435">
        <v>4568</v>
      </c>
      <c r="O28" s="435">
        <v>4495</v>
      </c>
      <c r="P28" s="435">
        <v>4480</v>
      </c>
      <c r="Q28" s="435">
        <v>4584</v>
      </c>
      <c r="R28" s="1636">
        <v>3819</v>
      </c>
      <c r="S28" s="202">
        <f t="shared" si="6"/>
        <v>27.948078871920512</v>
      </c>
    </row>
    <row r="29" spans="1:19">
      <c r="A29" s="461"/>
      <c r="B29" s="434"/>
      <c r="C29" s="434"/>
      <c r="D29" s="434"/>
      <c r="E29" s="42"/>
      <c r="F29" s="461"/>
      <c r="G29" s="523"/>
      <c r="H29" s="523"/>
      <c r="I29" s="523"/>
      <c r="K29" s="463" t="s">
        <v>5</v>
      </c>
      <c r="L29" s="443">
        <v>211</v>
      </c>
      <c r="M29" s="443">
        <v>627</v>
      </c>
      <c r="N29" s="443">
        <v>656</v>
      </c>
      <c r="O29" s="443">
        <v>342</v>
      </c>
      <c r="P29" s="443">
        <v>412</v>
      </c>
      <c r="Q29" s="443">
        <v>379</v>
      </c>
      <c r="R29" s="1639">
        <v>465</v>
      </c>
      <c r="S29" s="202">
        <f t="shared" si="6"/>
        <v>26.449357239914193</v>
      </c>
    </row>
    <row r="30" spans="1:19">
      <c r="A30" s="461" t="s">
        <v>516</v>
      </c>
      <c r="B30" s="435">
        <f>G30*C$9</f>
        <v>475.07699000167133</v>
      </c>
      <c r="C30" s="435">
        <f>H30*C$9</f>
        <v>629.82926345003466</v>
      </c>
      <c r="D30" s="435">
        <f>I30*C$9</f>
        <v>1066.7907420098725</v>
      </c>
      <c r="E30" s="42"/>
      <c r="F30" s="461" t="s">
        <v>516</v>
      </c>
      <c r="G30" s="523">
        <f t="shared" ref="G30:I34" si="7">(P31+N31+O31)/(O$36+P$36+N$36)</f>
        <v>5.9688822273215635E-4</v>
      </c>
      <c r="H30" s="523">
        <f t="shared" si="7"/>
        <v>7.9131946525987649E-4</v>
      </c>
      <c r="I30" s="523">
        <f t="shared" si="7"/>
        <v>1.3403192396734495E-3</v>
      </c>
      <c r="K30" s="461"/>
      <c r="L30" s="434"/>
      <c r="M30" s="434"/>
      <c r="N30" s="434"/>
      <c r="O30" s="434"/>
      <c r="P30" s="434"/>
      <c r="Q30" s="434"/>
      <c r="R30" s="1640"/>
      <c r="S30" s="202"/>
    </row>
    <row r="31" spans="1:19">
      <c r="A31" s="461" t="s">
        <v>537</v>
      </c>
      <c r="B31" s="435">
        <f>G31*C$9</f>
        <v>1171.856575337456</v>
      </c>
      <c r="C31" s="435">
        <f>H31*C$9</f>
        <v>944.74389517505188</v>
      </c>
      <c r="D31" s="435">
        <f>I31*C$9</f>
        <v>476.08843031845549</v>
      </c>
      <c r="E31" s="42"/>
      <c r="F31" s="461" t="s">
        <v>537</v>
      </c>
      <c r="G31" s="523">
        <f t="shared" si="7"/>
        <v>1.4723242827393191E-3</v>
      </c>
      <c r="H31" s="523">
        <f t="shared" si="7"/>
        <v>1.1869791978898147E-3</v>
      </c>
      <c r="I31" s="523">
        <f t="shared" si="7"/>
        <v>5.9815899952368821E-4</v>
      </c>
      <c r="K31" s="461" t="s">
        <v>516</v>
      </c>
      <c r="L31" s="434">
        <v>91</v>
      </c>
      <c r="M31" s="434">
        <v>63</v>
      </c>
      <c r="N31" s="434">
        <v>27</v>
      </c>
      <c r="O31" s="434">
        <v>9</v>
      </c>
      <c r="P31" s="434">
        <v>9</v>
      </c>
      <c r="Q31" s="434">
        <v>48</v>
      </c>
      <c r="R31" s="1636">
        <v>64</v>
      </c>
      <c r="S31" s="202">
        <f>D30/((Q31+P31+R31)/3)</f>
        <v>26.449357239914193</v>
      </c>
    </row>
    <row r="32" spans="1:19">
      <c r="A32" s="463" t="s">
        <v>518</v>
      </c>
      <c r="B32" s="435">
        <f>G32*C$9</f>
        <v>0</v>
      </c>
      <c r="C32" s="435">
        <f>H32*C$9</f>
        <v>324.45749935304815</v>
      </c>
      <c r="D32" s="435">
        <f>I32*C$9</f>
        <v>731.76555030429267</v>
      </c>
      <c r="E32" s="42"/>
      <c r="F32" s="463" t="s">
        <v>518</v>
      </c>
      <c r="G32" s="524">
        <f t="shared" si="7"/>
        <v>0</v>
      </c>
      <c r="H32" s="524">
        <f t="shared" si="7"/>
        <v>4.0764942149751213E-4</v>
      </c>
      <c r="I32" s="524">
        <f t="shared" si="7"/>
        <v>9.193925363049282E-4</v>
      </c>
      <c r="K32" s="461" t="s">
        <v>537</v>
      </c>
      <c r="L32" s="434">
        <v>636</v>
      </c>
      <c r="M32" s="434">
        <v>626</v>
      </c>
      <c r="N32" s="434">
        <v>30</v>
      </c>
      <c r="O32" s="434">
        <v>45</v>
      </c>
      <c r="P32" s="434">
        <v>36</v>
      </c>
      <c r="Q32" s="434">
        <v>18</v>
      </c>
      <c r="R32" s="1636">
        <v>0</v>
      </c>
      <c r="S32" s="202">
        <f>D31/((Q32+P32+R32)/3)</f>
        <v>26.449357239914193</v>
      </c>
    </row>
    <row r="33" spans="1:19">
      <c r="A33" s="461" t="s">
        <v>536</v>
      </c>
      <c r="B33" s="435">
        <f>G33*C$9</f>
        <v>1224.6429075598639</v>
      </c>
      <c r="C33" s="435">
        <f>H33*C$9</f>
        <v>1221.487056387946</v>
      </c>
      <c r="D33" s="435">
        <f>I33*C$9</f>
        <v>1516.4298150884138</v>
      </c>
      <c r="E33" s="42"/>
      <c r="F33" s="461" t="s">
        <v>536</v>
      </c>
      <c r="G33" s="523">
        <f t="shared" si="7"/>
        <v>1.5386451963762253E-3</v>
      </c>
      <c r="H33" s="523">
        <f t="shared" si="7"/>
        <v>1.5346801750494574E-3</v>
      </c>
      <c r="I33" s="523">
        <f t="shared" si="7"/>
        <v>1.905247183668044E-3</v>
      </c>
      <c r="K33" s="463" t="s">
        <v>518</v>
      </c>
      <c r="L33" s="444"/>
      <c r="M33" s="444"/>
      <c r="N33" s="444"/>
      <c r="O33" s="444"/>
      <c r="P33" s="444">
        <v>0</v>
      </c>
      <c r="Q33" s="444">
        <v>34</v>
      </c>
      <c r="R33" s="1639">
        <v>49</v>
      </c>
      <c r="S33" s="202">
        <f>D32/((Q33+P33+R33)/3)</f>
        <v>26.449357239914193</v>
      </c>
    </row>
    <row r="34" spans="1:19">
      <c r="A34" s="467" t="s">
        <v>520</v>
      </c>
      <c r="B34" s="435">
        <f>G34*C$9</f>
        <v>1129.6275095595297</v>
      </c>
      <c r="C34" s="435">
        <f>H34*C$9</f>
        <v>1288.2871297841618</v>
      </c>
      <c r="D34" s="435">
        <f>I34*C$9</f>
        <v>890.46169374377791</v>
      </c>
      <c r="E34" s="42"/>
      <c r="F34" s="467" t="s">
        <v>520</v>
      </c>
      <c r="G34" s="523">
        <f t="shared" si="7"/>
        <v>1.419267551829794E-3</v>
      </c>
      <c r="H34" s="523">
        <f t="shared" si="7"/>
        <v>1.6186079971224746E-3</v>
      </c>
      <c r="I34" s="523">
        <f t="shared" si="7"/>
        <v>1.118778869479491E-3</v>
      </c>
      <c r="K34" s="461" t="s">
        <v>536</v>
      </c>
      <c r="L34" s="434">
        <v>0</v>
      </c>
      <c r="M34" s="434">
        <v>38</v>
      </c>
      <c r="N34" s="434">
        <v>46</v>
      </c>
      <c r="O34" s="434">
        <v>44</v>
      </c>
      <c r="P34" s="434">
        <v>26</v>
      </c>
      <c r="Q34" s="434">
        <v>58</v>
      </c>
      <c r="R34" s="1636">
        <v>88</v>
      </c>
      <c r="S34" s="202">
        <f>D33/((Q34+P34+R34)/3)</f>
        <v>26.449357239914193</v>
      </c>
    </row>
    <row r="35" spans="1:19">
      <c r="A35" s="468"/>
      <c r="B35" s="447">
        <f>SUM(B17:B34)</f>
        <v>795922.87451591121</v>
      </c>
      <c r="C35" s="447">
        <f>SUM(C17:C34)</f>
        <v>795922.87451591133</v>
      </c>
      <c r="D35" s="447">
        <f>SUM(D17:D34)</f>
        <v>795922.8745159111</v>
      </c>
      <c r="E35" s="331"/>
      <c r="F35" s="468"/>
      <c r="G35" s="471">
        <f>SUM(G17:G34)</f>
        <v>1.0000000000000002</v>
      </c>
      <c r="H35" s="471">
        <f>SUM(H17:H34)</f>
        <v>0.99999999999999989</v>
      </c>
      <c r="I35" s="471">
        <f>SUM(I17:I34)</f>
        <v>1</v>
      </c>
      <c r="K35" s="467" t="s">
        <v>520</v>
      </c>
      <c r="L35" s="434">
        <v>0</v>
      </c>
      <c r="M35" s="434">
        <v>0</v>
      </c>
      <c r="N35" s="434">
        <v>57</v>
      </c>
      <c r="O35" s="434">
        <v>50</v>
      </c>
      <c r="P35" s="434">
        <v>0</v>
      </c>
      <c r="Q35" s="449">
        <v>85</v>
      </c>
      <c r="R35" s="1636">
        <v>16</v>
      </c>
      <c r="S35" s="202">
        <f>D34/((Q35+P35+R35)/3)</f>
        <v>26.449357239914196</v>
      </c>
    </row>
    <row r="36" spans="1:19">
      <c r="D36" s="42"/>
      <c r="K36" s="446"/>
      <c r="L36" s="447">
        <f>SUM(L17:L35)</f>
        <v>17781</v>
      </c>
      <c r="M36" s="447">
        <f>SUM(M17:M35)</f>
        <v>20738</v>
      </c>
      <c r="N36" s="447">
        <f>SUM(N17:N35)+N13</f>
        <v>22524</v>
      </c>
      <c r="O36" s="447">
        <f>SUM(O17:O35)+O13</f>
        <v>25183</v>
      </c>
      <c r="P36" s="447">
        <f>SUM(P17:P35)+P13</f>
        <v>27684</v>
      </c>
      <c r="Q36" s="447">
        <f>SUM(Q17:Q35)+Q13</f>
        <v>30538</v>
      </c>
      <c r="R36" s="989">
        <f>SUM(R17:R35)+R13</f>
        <v>32055</v>
      </c>
    </row>
    <row r="37" spans="1:19">
      <c r="D37" s="42"/>
      <c r="J37" s="480"/>
      <c r="K37" s="480"/>
      <c r="L37" s="480"/>
      <c r="M37" s="480"/>
      <c r="N37" s="480"/>
    </row>
    <row r="38" spans="1:19">
      <c r="D38" s="42"/>
      <c r="J38" s="480"/>
      <c r="K38" s="480"/>
      <c r="L38" s="480"/>
      <c r="M38" s="480"/>
      <c r="N38" s="480"/>
    </row>
  </sheetData>
  <pageMargins left="0.75" right="0.75" top="1" bottom="1" header="0.5" footer="0.5"/>
  <pageSetup orientation="portrait" horizontalDpi="4294967292" verticalDpi="429496729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81"/>
  <sheetViews>
    <sheetView workbookViewId="0">
      <pane xSplit="4" ySplit="10" topLeftCell="E11" activePane="bottomRight" state="frozen"/>
      <selection pane="topRight" activeCell="E1" sqref="E1"/>
      <selection pane="bottomLeft" activeCell="A11" sqref="A11"/>
      <selection pane="bottomRight" activeCell="D54" sqref="D54"/>
    </sheetView>
  </sheetViews>
  <sheetFormatPr defaultColWidth="11" defaultRowHeight="15.75"/>
  <cols>
    <col min="1" max="1" width="35.125" customWidth="1"/>
    <col min="2" max="2" width="12.5" bestFit="1" customWidth="1"/>
    <col min="7" max="7" width="13.625" customWidth="1"/>
    <col min="8" max="11" width="11.125" bestFit="1" customWidth="1"/>
    <col min="12" max="14" width="11.125" customWidth="1"/>
    <col min="15" max="15" width="4.125" customWidth="1"/>
    <col min="16" max="16" width="11.125" customWidth="1"/>
    <col min="18" max="19" width="12" bestFit="1" customWidth="1"/>
    <col min="20" max="21" width="12" customWidth="1"/>
    <col min="22" max="22" width="12" bestFit="1" customWidth="1"/>
    <col min="23" max="23" width="1.875" customWidth="1"/>
    <col min="24" max="27" width="12" customWidth="1"/>
    <col min="28" max="28" width="12.875" customWidth="1"/>
    <col min="29" max="30" width="13.125" customWidth="1"/>
    <col min="31" max="31" width="4.125" customWidth="1"/>
    <col min="32" max="32" width="12.375" customWidth="1"/>
    <col min="33" max="33" width="9" customWidth="1"/>
    <col min="34" max="34" width="11.875" customWidth="1"/>
    <col min="35" max="35" width="9.375" customWidth="1"/>
    <col min="36" max="36" width="12.875" customWidth="1"/>
    <col min="37" max="37" width="9.625" customWidth="1"/>
    <col min="39" max="44" width="11.875" customWidth="1"/>
    <col min="45" max="45" width="12.375" customWidth="1"/>
    <col min="46" max="46" width="4.125" customWidth="1"/>
    <col min="47" max="47" width="12.375" customWidth="1"/>
    <col min="48" max="48" width="9" customWidth="1"/>
    <col min="49" max="49" width="11.875" customWidth="1"/>
    <col min="50" max="50" width="9.375" customWidth="1"/>
    <col min="51" max="51" width="12.875" customWidth="1"/>
    <col min="52" max="52" width="9.375" customWidth="1"/>
    <col min="53" max="53" width="12.5" bestFit="1" customWidth="1"/>
    <col min="54" max="55" width="11.625" bestFit="1" customWidth="1"/>
    <col min="56" max="58" width="12" customWidth="1"/>
    <col min="59" max="59" width="11.5" customWidth="1"/>
    <col min="61" max="61" width="11.625" customWidth="1"/>
  </cols>
  <sheetData>
    <row r="1" spans="1:52" ht="21">
      <c r="A1" s="192" t="s">
        <v>496</v>
      </c>
      <c r="B1" s="192"/>
      <c r="C1" s="417"/>
      <c r="I1" s="990"/>
    </row>
    <row r="2" spans="1:52" ht="21">
      <c r="A2" s="192"/>
      <c r="B2" s="192"/>
      <c r="C2" s="417"/>
    </row>
    <row r="3" spans="1:52" ht="21">
      <c r="A3" s="192" t="s">
        <v>497</v>
      </c>
      <c r="B3" s="599">
        <f>'Dashboard-Academic Allocation'!D32</f>
        <v>7959228.7451591119</v>
      </c>
      <c r="C3" s="417"/>
    </row>
    <row r="4" spans="1:52" ht="21.75" thickBot="1">
      <c r="A4" s="192"/>
      <c r="B4" s="192"/>
      <c r="C4" s="417"/>
    </row>
    <row r="5" spans="1:52" ht="21">
      <c r="A5" s="600" t="s">
        <v>498</v>
      </c>
      <c r="B5" s="951">
        <v>0</v>
      </c>
      <c r="C5" s="417"/>
    </row>
    <row r="6" spans="1:52" ht="21">
      <c r="A6" s="601" t="s">
        <v>499</v>
      </c>
      <c r="B6" s="952">
        <v>1</v>
      </c>
      <c r="C6" s="417"/>
      <c r="G6" s="10" t="s">
        <v>500</v>
      </c>
    </row>
    <row r="7" spans="1:52" ht="19.5" thickBot="1">
      <c r="A7" s="602" t="s">
        <v>622</v>
      </c>
      <c r="B7" s="953">
        <v>0</v>
      </c>
    </row>
    <row r="9" spans="1:52">
      <c r="G9" s="10" t="s">
        <v>495</v>
      </c>
      <c r="I9" t="s">
        <v>986</v>
      </c>
      <c r="W9" t="s">
        <v>490</v>
      </c>
      <c r="Z9" t="s">
        <v>1477</v>
      </c>
      <c r="AM9" s="10" t="s">
        <v>621</v>
      </c>
      <c r="AP9" t="s">
        <v>985</v>
      </c>
    </row>
    <row r="10" spans="1:52" ht="32.25" thickBot="1">
      <c r="A10" s="2"/>
      <c r="B10" s="954" t="s">
        <v>878</v>
      </c>
      <c r="C10" s="954" t="s">
        <v>1251</v>
      </c>
      <c r="D10" s="954" t="s">
        <v>1597</v>
      </c>
      <c r="E10" s="1023"/>
      <c r="G10" s="3">
        <v>2012</v>
      </c>
      <c r="H10" s="3">
        <v>2013</v>
      </c>
      <c r="I10" s="3">
        <v>2014</v>
      </c>
      <c r="J10" s="3">
        <v>2015</v>
      </c>
      <c r="K10" s="3">
        <v>2016</v>
      </c>
      <c r="L10" s="3" t="s">
        <v>962</v>
      </c>
      <c r="M10" s="1530" t="s">
        <v>1475</v>
      </c>
      <c r="N10" s="1531" t="s">
        <v>1571</v>
      </c>
      <c r="O10" s="1530"/>
      <c r="P10" s="3" t="s">
        <v>876</v>
      </c>
      <c r="Q10" s="1094" t="s">
        <v>988</v>
      </c>
      <c r="R10" s="3" t="s">
        <v>1252</v>
      </c>
      <c r="S10" s="1094" t="s">
        <v>1253</v>
      </c>
      <c r="T10" s="3" t="s">
        <v>1595</v>
      </c>
      <c r="U10" s="1094" t="s">
        <v>1596</v>
      </c>
      <c r="W10" s="2"/>
      <c r="X10" s="3">
        <v>2012</v>
      </c>
      <c r="Y10" s="3">
        <v>2013</v>
      </c>
      <c r="Z10" s="3">
        <v>2014</v>
      </c>
      <c r="AA10" s="3">
        <v>2015</v>
      </c>
      <c r="AB10" s="3">
        <v>2016</v>
      </c>
      <c r="AC10" s="3">
        <v>2017</v>
      </c>
      <c r="AD10" s="3" t="s">
        <v>1475</v>
      </c>
      <c r="AE10" s="3"/>
      <c r="AF10" s="415" t="s">
        <v>857</v>
      </c>
      <c r="AG10" s="1094" t="s">
        <v>987</v>
      </c>
      <c r="AH10" s="3" t="s">
        <v>876</v>
      </c>
      <c r="AI10" s="1094" t="s">
        <v>988</v>
      </c>
      <c r="AJ10" s="3" t="s">
        <v>1252</v>
      </c>
      <c r="AK10" s="1094" t="s">
        <v>1253</v>
      </c>
      <c r="AM10" s="3">
        <v>2012</v>
      </c>
      <c r="AN10" s="3">
        <v>2013</v>
      </c>
      <c r="AO10" s="3">
        <v>2014</v>
      </c>
      <c r="AP10" s="3">
        <v>2015</v>
      </c>
      <c r="AQ10" s="3">
        <v>2016</v>
      </c>
      <c r="AR10" s="3">
        <v>2017</v>
      </c>
      <c r="AS10" s="3" t="s">
        <v>1475</v>
      </c>
      <c r="AT10" s="3"/>
      <c r="AU10" s="415" t="s">
        <v>857</v>
      </c>
      <c r="AV10" s="1094" t="s">
        <v>987</v>
      </c>
      <c r="AW10" s="3" t="s">
        <v>876</v>
      </c>
      <c r="AX10" s="1094" t="s">
        <v>988</v>
      </c>
      <c r="AY10" s="3" t="s">
        <v>1252</v>
      </c>
      <c r="AZ10" s="1094" t="s">
        <v>1253</v>
      </c>
    </row>
    <row r="11" spans="1:52" ht="16.5" thickTop="1">
      <c r="A11" s="47" t="s">
        <v>71</v>
      </c>
      <c r="W11" s="47" t="s">
        <v>71</v>
      </c>
    </row>
    <row r="12" spans="1:52">
      <c r="A12" s="173" t="s">
        <v>72</v>
      </c>
      <c r="B12" s="372">
        <f>B$3*(B$5*AG12+B$6*Q12+B$7*AV12)</f>
        <v>1506414.2990867377</v>
      </c>
      <c r="C12" s="372">
        <f>B$3*(B$5*AI12+B$6*S12+B$7*AX12)</f>
        <v>1430242.8276683986</v>
      </c>
      <c r="D12" s="372">
        <f>B$3*(B$5*AK12+B$6*U12+B$7*AZ12)</f>
        <v>1401646.4296144415</v>
      </c>
      <c r="E12" s="372"/>
      <c r="G12" s="372">
        <v>8458033.3000000007</v>
      </c>
      <c r="H12" s="372">
        <v>8074838.71</v>
      </c>
      <c r="I12" s="372">
        <v>7648538.4800000004</v>
      </c>
      <c r="J12" s="372">
        <v>7574918.2300000004</v>
      </c>
      <c r="K12" s="372">
        <v>7473341</v>
      </c>
      <c r="L12" s="372">
        <v>7190764</v>
      </c>
      <c r="M12" s="372">
        <v>7535878.1100000003</v>
      </c>
      <c r="N12" s="1213">
        <v>7590000</v>
      </c>
      <c r="O12" s="372"/>
      <c r="P12" s="372">
        <f>AVERAGE(J12:L12)</f>
        <v>7413007.7433333332</v>
      </c>
      <c r="Q12" s="416">
        <f>P12/P$54</f>
        <v>0.18926636578989578</v>
      </c>
      <c r="R12" s="372">
        <f>AVERAGE(K12,L12,M12)</f>
        <v>7399994.3700000001</v>
      </c>
      <c r="S12" s="416">
        <f>R12/R$54</f>
        <v>0.17969615819099152</v>
      </c>
      <c r="T12" s="372">
        <f>AVERAGE(L12,M12,N12)</f>
        <v>7438880.7033333331</v>
      </c>
      <c r="U12" s="416">
        <f>T12/T$54</f>
        <v>0.17610329775569497</v>
      </c>
      <c r="W12" s="173" t="s">
        <v>72</v>
      </c>
      <c r="X12" s="372">
        <v>45198409</v>
      </c>
      <c r="Y12" s="372">
        <v>43343242</v>
      </c>
      <c r="Z12" s="372">
        <v>43235284</v>
      </c>
      <c r="AA12" s="372">
        <v>43231345</v>
      </c>
      <c r="AB12" s="372">
        <v>41542562</v>
      </c>
      <c r="AC12" s="372">
        <v>39527816</v>
      </c>
      <c r="AD12" s="372">
        <v>43426877</v>
      </c>
      <c r="AE12" s="372"/>
      <c r="AF12" s="372">
        <f>AVERAGE(Z12:AB12)</f>
        <v>42669730.333333336</v>
      </c>
      <c r="AG12" s="416">
        <f t="shared" ref="AG12:AG22" si="0">AF12/AF$54</f>
        <v>0.29299683649767261</v>
      </c>
      <c r="AH12" s="372">
        <f>AVERAGE(AA12:AC12)</f>
        <v>41433907.666666664</v>
      </c>
      <c r="AI12" s="416">
        <f>AH12/AH$54</f>
        <v>0.26468982478669772</v>
      </c>
      <c r="AJ12" s="372">
        <f>AVERAGE(AB12,AC12,AD12)</f>
        <v>41499085</v>
      </c>
      <c r="AK12" s="416">
        <f>AJ12/AJ$54</f>
        <v>0.25236074390630842</v>
      </c>
      <c r="AM12" s="372">
        <v>53872819</v>
      </c>
      <c r="AN12" s="372">
        <v>53138070</v>
      </c>
      <c r="AO12" s="372">
        <v>45446585</v>
      </c>
      <c r="AP12" s="372">
        <f>1957126+42375+40852464+6484318+91506</f>
        <v>49427789</v>
      </c>
      <c r="AQ12" s="372">
        <f>1026896+125+45031148+5928203+305815</f>
        <v>52292187</v>
      </c>
      <c r="AR12" s="372">
        <f>533393+4957304+40037642+20500+895052</f>
        <v>46443891</v>
      </c>
      <c r="AS12" s="372">
        <v>49009912</v>
      </c>
      <c r="AT12" s="372"/>
      <c r="AU12" s="372">
        <f>AVERAGE(AO12:AQ12)</f>
        <v>49055520.333333336</v>
      </c>
      <c r="AV12" s="416">
        <f>AU12/AU$54</f>
        <v>0.22214697648394091</v>
      </c>
      <c r="AW12" s="372">
        <f>AVERAGE(AP12:AR12)</f>
        <v>49387955.666666664</v>
      </c>
      <c r="AX12" s="416">
        <f>AW12/AW$54</f>
        <v>0.18077660825310046</v>
      </c>
      <c r="AY12" s="372">
        <f>AVERAGE(AR12,AQ12,AS12)</f>
        <v>49248663.333333336</v>
      </c>
      <c r="AZ12" s="416">
        <f>AY12/AY$54</f>
        <v>0.16641376625552529</v>
      </c>
    </row>
    <row r="13" spans="1:52">
      <c r="A13" s="49" t="s">
        <v>73</v>
      </c>
      <c r="B13" s="373">
        <f t="shared" ref="B13:B19" si="1">B$3*(B$5*AG13+B$6*Q13+B$7*AV13)</f>
        <v>5053.0917717116954</v>
      </c>
      <c r="C13" s="373">
        <f t="shared" ref="C13:C19" si="2">B$3*(B$5*AI13+B$6*S13+B$7*AX13)</f>
        <v>3588.3563552427554</v>
      </c>
      <c r="D13" s="373">
        <f t="shared" ref="D13:D30" si="3">B$3*(B$5*AK13+B$6*U13+B$7*AZ13)</f>
        <v>2932.64847679285</v>
      </c>
      <c r="E13" s="373"/>
      <c r="G13" s="373">
        <v>132659.57999999999</v>
      </c>
      <c r="H13" s="373">
        <v>123123.94</v>
      </c>
      <c r="I13" s="373">
        <v>179324.75</v>
      </c>
      <c r="J13" s="373">
        <v>31335.22</v>
      </c>
      <c r="K13" s="373">
        <v>29005</v>
      </c>
      <c r="L13" s="373">
        <v>14258</v>
      </c>
      <c r="M13" s="373">
        <v>12434.85</v>
      </c>
      <c r="N13" s="1214">
        <v>20000</v>
      </c>
      <c r="O13" s="373"/>
      <c r="P13" s="372">
        <f t="shared" ref="P13:P22" si="4">AVERAGE(J13:L13)</f>
        <v>24866.073333333334</v>
      </c>
      <c r="Q13" s="416">
        <f t="shared" ref="Q13:Q22" si="5">P13/P$54</f>
        <v>6.3487203766885575E-4</v>
      </c>
      <c r="R13" s="372">
        <f t="shared" ref="R13:R22" si="6">AVERAGE(K13,L13,M13)</f>
        <v>18565.95</v>
      </c>
      <c r="S13" s="416">
        <f t="shared" ref="S13:S22" si="7">R13/R$54</f>
        <v>4.508422197848293E-4</v>
      </c>
      <c r="T13" s="372">
        <f t="shared" ref="T13:T21" si="8">AVERAGE(L13,M13,N13)</f>
        <v>15564.283333333333</v>
      </c>
      <c r="U13" s="416">
        <f t="shared" ref="U13:U22" si="9">T13/T$54</f>
        <v>3.6845887594027474E-4</v>
      </c>
      <c r="W13" s="49" t="s">
        <v>73</v>
      </c>
      <c r="X13" s="373">
        <v>614089</v>
      </c>
      <c r="Y13" s="373">
        <v>596080</v>
      </c>
      <c r="Z13" s="373">
        <v>262823</v>
      </c>
      <c r="AA13" s="373">
        <v>105280</v>
      </c>
      <c r="AB13" s="373">
        <v>150126</v>
      </c>
      <c r="AC13" s="373">
        <v>51439</v>
      </c>
      <c r="AD13" s="373">
        <v>53187</v>
      </c>
      <c r="AE13" s="373"/>
      <c r="AF13" s="373">
        <f t="shared" ref="AF13:AF30" si="10">AVERAGE(Z13:AB13)</f>
        <v>172743</v>
      </c>
      <c r="AG13" s="416">
        <f t="shared" si="0"/>
        <v>1.1861605904637923E-3</v>
      </c>
      <c r="AH13" s="372">
        <f t="shared" ref="AH13:AH22" si="11">AVERAGE(AA13:AC13)</f>
        <v>102281.66666666667</v>
      </c>
      <c r="AI13" s="416">
        <f t="shared" ref="AI13:AI22" si="12">AH13/AH$54</f>
        <v>6.5340002798411952E-4</v>
      </c>
      <c r="AJ13" s="372">
        <f t="shared" ref="AJ13:AJ22" si="13">AVERAGE(AB13,AC13,AD13)</f>
        <v>84917.333333333328</v>
      </c>
      <c r="AK13" s="416">
        <f t="shared" ref="AK13:AK22" si="14">AJ13/AJ$54</f>
        <v>5.1639214239398198E-4</v>
      </c>
      <c r="AM13" s="373">
        <v>1880047</v>
      </c>
      <c r="AN13" s="373">
        <f>1537152+125196</f>
        <v>1662348</v>
      </c>
      <c r="AO13" s="373">
        <f>650680+1020128</f>
        <v>1670808</v>
      </c>
      <c r="AP13" s="373">
        <v>37327</v>
      </c>
      <c r="AQ13" s="373">
        <f>71041+250699</f>
        <v>321740</v>
      </c>
      <c r="AR13" s="373">
        <v>174390</v>
      </c>
      <c r="AS13" s="373">
        <v>-85778</v>
      </c>
      <c r="AT13" s="373"/>
      <c r="AU13" s="372">
        <f t="shared" ref="AU13:AU21" si="15">AVERAGE(AO13:AQ13)</f>
        <v>676625</v>
      </c>
      <c r="AV13" s="416">
        <f t="shared" ref="AV13:AV21" si="16">AU13/AU$54</f>
        <v>3.0640832457200624E-3</v>
      </c>
      <c r="AW13" s="372">
        <f t="shared" ref="AW13:AW21" si="17">AVERAGE(AP13:AR13)</f>
        <v>177819</v>
      </c>
      <c r="AX13" s="416">
        <f t="shared" ref="AX13:AZ21" si="18">AW13/AW$54</f>
        <v>6.5087763340352224E-4</v>
      </c>
      <c r="AY13" s="372">
        <f>AVERAGE(AR13,AQ13,AS13)</f>
        <v>136784</v>
      </c>
      <c r="AZ13" s="416">
        <f t="shared" si="18"/>
        <v>4.6220017078289099E-4</v>
      </c>
    </row>
    <row r="14" spans="1:52">
      <c r="A14" s="172" t="s">
        <v>74</v>
      </c>
      <c r="B14" s="373">
        <f t="shared" si="1"/>
        <v>1711003.8007496321</v>
      </c>
      <c r="C14" s="373">
        <f t="shared" si="2"/>
        <v>1725498.672034299</v>
      </c>
      <c r="D14" s="373">
        <f t="shared" si="3"/>
        <v>1752086.6075550234</v>
      </c>
      <c r="E14" s="373"/>
      <c r="G14" s="373">
        <v>6471498.9100000001</v>
      </c>
      <c r="H14" s="373">
        <v>6178326.5</v>
      </c>
      <c r="I14" s="373">
        <v>6426678.0899999999</v>
      </c>
      <c r="J14" s="373">
        <v>8045682.8099999996</v>
      </c>
      <c r="K14" s="373">
        <v>8061636</v>
      </c>
      <c r="L14" s="373">
        <v>9152036</v>
      </c>
      <c r="M14" s="373">
        <v>9569221.5299999993</v>
      </c>
      <c r="N14" s="1214">
        <v>9175000</v>
      </c>
      <c r="O14" s="373"/>
      <c r="P14" s="372">
        <f t="shared" si="4"/>
        <v>8419784.9366666656</v>
      </c>
      <c r="Q14" s="416">
        <f t="shared" si="5"/>
        <v>0.21497105505232311</v>
      </c>
      <c r="R14" s="372">
        <f t="shared" si="6"/>
        <v>8927631.1766666677</v>
      </c>
      <c r="S14" s="416">
        <f t="shared" si="7"/>
        <v>0.21679219523421359</v>
      </c>
      <c r="T14" s="372">
        <f t="shared" si="8"/>
        <v>9298752.5099999998</v>
      </c>
      <c r="U14" s="416">
        <f t="shared" si="9"/>
        <v>0.22013271180585947</v>
      </c>
      <c r="W14" s="172" t="s">
        <v>74</v>
      </c>
      <c r="X14" s="373">
        <v>22986412</v>
      </c>
      <c r="Y14" s="373">
        <v>23991201</v>
      </c>
      <c r="Z14" s="373">
        <v>22979784</v>
      </c>
      <c r="AA14" s="373">
        <v>26791968</v>
      </c>
      <c r="AB14" s="373">
        <v>28770827</v>
      </c>
      <c r="AC14" s="373">
        <v>32258394</v>
      </c>
      <c r="AD14" s="373">
        <v>32274483</v>
      </c>
      <c r="AE14" s="373"/>
      <c r="AF14" s="373">
        <f t="shared" si="10"/>
        <v>26180859.666666668</v>
      </c>
      <c r="AG14" s="416">
        <f t="shared" si="0"/>
        <v>0.17977402245568863</v>
      </c>
      <c r="AH14" s="372">
        <f t="shared" si="11"/>
        <v>29273729.666666668</v>
      </c>
      <c r="AI14" s="416">
        <f t="shared" si="12"/>
        <v>0.18700766624907902</v>
      </c>
      <c r="AJ14" s="372">
        <f t="shared" si="13"/>
        <v>31101234.666666668</v>
      </c>
      <c r="AK14" s="416">
        <f t="shared" si="14"/>
        <v>0.1891302113500736</v>
      </c>
      <c r="AM14" s="373">
        <v>30963305</v>
      </c>
      <c r="AN14" s="373">
        <v>29656248</v>
      </c>
      <c r="AO14" s="373">
        <v>38193403</v>
      </c>
      <c r="AP14" s="373">
        <f>3894284+177217+6636703+6214577+228440+11993196+9688041</f>
        <v>38832458</v>
      </c>
      <c r="AQ14" s="373">
        <f>6086606+351347+10572294+6758169+31000+20529254+9230302</f>
        <v>53558972</v>
      </c>
      <c r="AR14" s="373">
        <f>10096291+11373190+10414080+12520995+967586+4262518+147520</f>
        <v>49782180</v>
      </c>
      <c r="AS14" s="373">
        <v>37570247</v>
      </c>
      <c r="AT14" s="373"/>
      <c r="AU14" s="372">
        <f t="shared" si="15"/>
        <v>43528277.666666664</v>
      </c>
      <c r="AV14" s="416">
        <f t="shared" si="16"/>
        <v>0.19711696480840066</v>
      </c>
      <c r="AW14" s="372">
        <f t="shared" si="17"/>
        <v>47391203.333333336</v>
      </c>
      <c r="AX14" s="416">
        <f t="shared" si="18"/>
        <v>0.17346781991657312</v>
      </c>
      <c r="AY14" s="372">
        <f t="shared" ref="AY14:AY21" si="19">AVERAGE(AR14,AQ14,AS14)</f>
        <v>46970466.333333336</v>
      </c>
      <c r="AZ14" s="416">
        <f t="shared" si="18"/>
        <v>0.15871562142515719</v>
      </c>
    </row>
    <row r="15" spans="1:52">
      <c r="A15" s="173" t="s">
        <v>75</v>
      </c>
      <c r="B15" s="372">
        <f t="shared" si="1"/>
        <v>365757.88086598302</v>
      </c>
      <c r="C15" s="372">
        <f t="shared" si="2"/>
        <v>344185.80815810262</v>
      </c>
      <c r="D15" s="372">
        <f t="shared" si="3"/>
        <v>317347.70771727973</v>
      </c>
      <c r="E15" s="372"/>
      <c r="G15" s="372">
        <v>1849813.2</v>
      </c>
      <c r="H15" s="372">
        <v>1738840.32</v>
      </c>
      <c r="I15" s="372">
        <v>1726175.09</v>
      </c>
      <c r="J15" s="372">
        <v>1760647.06</v>
      </c>
      <c r="K15" s="372">
        <v>1949667</v>
      </c>
      <c r="L15" s="372">
        <v>1689328</v>
      </c>
      <c r="M15" s="372">
        <v>1703397.9</v>
      </c>
      <c r="N15" s="1213">
        <v>1660000</v>
      </c>
      <c r="O15" s="372"/>
      <c r="P15" s="372">
        <f t="shared" si="4"/>
        <v>1799880.6866666668</v>
      </c>
      <c r="Q15" s="416">
        <f t="shared" si="5"/>
        <v>4.5953935057896265E-2</v>
      </c>
      <c r="R15" s="372">
        <f t="shared" si="6"/>
        <v>1780797.6333333335</v>
      </c>
      <c r="S15" s="416">
        <f t="shared" si="7"/>
        <v>4.3243613065831299E-2</v>
      </c>
      <c r="T15" s="372">
        <f t="shared" si="8"/>
        <v>1684241.9666666668</v>
      </c>
      <c r="U15" s="416">
        <f t="shared" si="9"/>
        <v>3.9871665695032824E-2</v>
      </c>
      <c r="W15" s="173" t="s">
        <v>75</v>
      </c>
      <c r="X15" s="372">
        <v>10865195</v>
      </c>
      <c r="Y15" s="372">
        <v>8595816</v>
      </c>
      <c r="Z15" s="372">
        <v>8211519</v>
      </c>
      <c r="AA15" s="372">
        <v>8864055</v>
      </c>
      <c r="AB15" s="372">
        <v>9739978</v>
      </c>
      <c r="AC15" s="372">
        <v>8235892</v>
      </c>
      <c r="AD15" s="372">
        <v>8017949</v>
      </c>
      <c r="AE15" s="372"/>
      <c r="AF15" s="372">
        <f>AVERAGE(Z15:AB15)</f>
        <v>8938517.333333334</v>
      </c>
      <c r="AG15" s="416">
        <f t="shared" si="0"/>
        <v>6.1377404571979821E-2</v>
      </c>
      <c r="AH15" s="372">
        <f t="shared" si="11"/>
        <v>8946641.666666666</v>
      </c>
      <c r="AI15" s="416">
        <f t="shared" si="12"/>
        <v>5.7153311105254012E-2</v>
      </c>
      <c r="AJ15" s="372">
        <f t="shared" si="13"/>
        <v>8664606.333333334</v>
      </c>
      <c r="AK15" s="416">
        <f t="shared" si="14"/>
        <v>5.2690474981202877E-2</v>
      </c>
      <c r="AM15" s="372">
        <v>10968426</v>
      </c>
      <c r="AN15" s="372">
        <v>9445270</v>
      </c>
      <c r="AO15" s="372">
        <v>10636319</v>
      </c>
      <c r="AP15" s="372">
        <v>13129170</v>
      </c>
      <c r="AQ15" s="372">
        <f>10445329+967227</f>
        <v>11412556</v>
      </c>
      <c r="AR15" s="372">
        <f>11127769-638980</f>
        <v>10488789</v>
      </c>
      <c r="AS15" s="372">
        <v>11042684</v>
      </c>
      <c r="AT15" s="372"/>
      <c r="AU15" s="372">
        <f t="shared" si="15"/>
        <v>11726015</v>
      </c>
      <c r="AV15" s="416">
        <f t="shared" si="16"/>
        <v>5.310103247820009E-2</v>
      </c>
      <c r="AW15" s="372">
        <f t="shared" si="17"/>
        <v>11676838.333333334</v>
      </c>
      <c r="AX15" s="416">
        <f t="shared" si="18"/>
        <v>4.2741174452873593E-2</v>
      </c>
      <c r="AY15" s="372">
        <f t="shared" si="19"/>
        <v>10981343</v>
      </c>
      <c r="AZ15" s="416">
        <f t="shared" si="18"/>
        <v>3.7106522766007025E-2</v>
      </c>
    </row>
    <row r="16" spans="1:52">
      <c r="A16" s="49" t="s">
        <v>76</v>
      </c>
      <c r="B16" s="373">
        <f t="shared" si="1"/>
        <v>697527.97675394535</v>
      </c>
      <c r="C16" s="373">
        <f t="shared" si="2"/>
        <v>683062.79700573988</v>
      </c>
      <c r="D16" s="373">
        <f t="shared" si="3"/>
        <v>627287.95734106994</v>
      </c>
      <c r="E16" s="373"/>
      <c r="G16" s="373">
        <v>2716252.73</v>
      </c>
      <c r="H16" s="373">
        <v>2726123.93</v>
      </c>
      <c r="I16" s="373">
        <v>2407131.41</v>
      </c>
      <c r="J16" s="373">
        <v>3087624.31</v>
      </c>
      <c r="K16" s="373">
        <v>3789871</v>
      </c>
      <c r="L16" s="373">
        <v>3420031</v>
      </c>
      <c r="M16" s="373">
        <v>3392481.22</v>
      </c>
      <c r="N16" s="1214">
        <v>3175000</v>
      </c>
      <c r="O16" s="373"/>
      <c r="P16" s="372">
        <f t="shared" si="4"/>
        <v>3432508.77</v>
      </c>
      <c r="Q16" s="416">
        <f t="shared" si="5"/>
        <v>8.7637634133607395E-2</v>
      </c>
      <c r="R16" s="372">
        <f t="shared" si="6"/>
        <v>3534127.74</v>
      </c>
      <c r="S16" s="416">
        <f t="shared" si="7"/>
        <v>8.5820224405685791E-2</v>
      </c>
      <c r="T16" s="372">
        <f t="shared" si="8"/>
        <v>3329170.74</v>
      </c>
      <c r="U16" s="416">
        <f t="shared" si="9"/>
        <v>7.8812656028084779E-2</v>
      </c>
      <c r="W16" s="49" t="s">
        <v>76</v>
      </c>
      <c r="X16" s="373">
        <v>11653841</v>
      </c>
      <c r="Y16" s="373">
        <v>10024017</v>
      </c>
      <c r="Z16" s="373">
        <v>9934533</v>
      </c>
      <c r="AA16" s="373">
        <v>11874754</v>
      </c>
      <c r="AB16" s="373">
        <v>15451209</v>
      </c>
      <c r="AC16" s="373">
        <v>14752516</v>
      </c>
      <c r="AD16" s="373">
        <v>14012511</v>
      </c>
      <c r="AE16" s="373"/>
      <c r="AF16" s="373">
        <f t="shared" si="10"/>
        <v>12420165.333333334</v>
      </c>
      <c r="AG16" s="416">
        <f t="shared" si="0"/>
        <v>8.52845594058491E-2</v>
      </c>
      <c r="AH16" s="372">
        <f t="shared" si="11"/>
        <v>14026159.666666666</v>
      </c>
      <c r="AI16" s="416">
        <f t="shared" si="12"/>
        <v>8.9602500793981271E-2</v>
      </c>
      <c r="AJ16" s="372">
        <f t="shared" si="13"/>
        <v>14738745.333333334</v>
      </c>
      <c r="AK16" s="416">
        <f t="shared" si="14"/>
        <v>8.962801798077312E-2</v>
      </c>
      <c r="AM16" s="373">
        <v>18181831</v>
      </c>
      <c r="AN16" s="373">
        <v>13517710</v>
      </c>
      <c r="AO16" s="373">
        <v>16361632</v>
      </c>
      <c r="AP16" s="373">
        <v>17776946</v>
      </c>
      <c r="AQ16" s="373">
        <v>18706328</v>
      </c>
      <c r="AR16" s="373">
        <v>15215386</v>
      </c>
      <c r="AS16" s="373">
        <v>20334912</v>
      </c>
      <c r="AT16" s="373"/>
      <c r="AU16" s="372">
        <f t="shared" si="15"/>
        <v>17614968.666666668</v>
      </c>
      <c r="AV16" s="416">
        <f t="shared" si="16"/>
        <v>7.9769045431985514E-2</v>
      </c>
      <c r="AW16" s="372">
        <f t="shared" si="17"/>
        <v>17232886.666666668</v>
      </c>
      <c r="AX16" s="416">
        <f t="shared" si="18"/>
        <v>6.3078189002924959E-2</v>
      </c>
      <c r="AY16" s="372">
        <f t="shared" si="19"/>
        <v>18085542</v>
      </c>
      <c r="AZ16" s="416">
        <f t="shared" si="18"/>
        <v>6.1111976555014824E-2</v>
      </c>
    </row>
    <row r="17" spans="1:52">
      <c r="A17" s="172" t="s">
        <v>77</v>
      </c>
      <c r="B17" s="373">
        <f t="shared" si="1"/>
        <v>24753.421457851942</v>
      </c>
      <c r="C17" s="373">
        <f t="shared" si="2"/>
        <v>17346.291990816662</v>
      </c>
      <c r="D17" s="373">
        <f t="shared" si="3"/>
        <v>13638.72522787273</v>
      </c>
      <c r="E17" s="373"/>
      <c r="G17" s="373">
        <v>48271.79</v>
      </c>
      <c r="H17" s="373">
        <v>99113.82</v>
      </c>
      <c r="I17" s="373">
        <v>129277.5</v>
      </c>
      <c r="J17" s="373">
        <v>183593.95</v>
      </c>
      <c r="K17" s="373">
        <v>120094</v>
      </c>
      <c r="L17" s="373">
        <v>61744</v>
      </c>
      <c r="M17" s="373">
        <v>87408.16</v>
      </c>
      <c r="N17" s="1214">
        <v>68000</v>
      </c>
      <c r="O17" s="373"/>
      <c r="P17" s="372">
        <f t="shared" si="4"/>
        <v>121810.65000000001</v>
      </c>
      <c r="Q17" s="416">
        <f t="shared" si="5"/>
        <v>3.1100276484586822E-3</v>
      </c>
      <c r="R17" s="372">
        <f t="shared" si="6"/>
        <v>89748.720000000016</v>
      </c>
      <c r="S17" s="416">
        <f t="shared" si="7"/>
        <v>2.1793935752087617E-3</v>
      </c>
      <c r="T17" s="372">
        <f t="shared" si="8"/>
        <v>72384.05333333333</v>
      </c>
      <c r="U17" s="416">
        <f t="shared" si="9"/>
        <v>1.7135737223494109E-3</v>
      </c>
      <c r="W17" s="172" t="s">
        <v>77</v>
      </c>
      <c r="X17" s="373">
        <v>644912</v>
      </c>
      <c r="Y17" s="373">
        <v>717543</v>
      </c>
      <c r="Z17" s="373">
        <v>967166</v>
      </c>
      <c r="AA17" s="373">
        <v>1277617</v>
      </c>
      <c r="AB17" s="373">
        <v>446697</v>
      </c>
      <c r="AC17" s="373">
        <v>301658</v>
      </c>
      <c r="AD17" s="373">
        <v>707140</v>
      </c>
      <c r="AE17" s="373"/>
      <c r="AF17" s="373">
        <f t="shared" si="10"/>
        <v>897160</v>
      </c>
      <c r="AG17" s="416">
        <f t="shared" si="0"/>
        <v>6.1604570682487628E-3</v>
      </c>
      <c r="AH17" s="372">
        <f t="shared" si="11"/>
        <v>675324</v>
      </c>
      <c r="AI17" s="416">
        <f t="shared" si="12"/>
        <v>4.3141330687970882E-3</v>
      </c>
      <c r="AJ17" s="372">
        <f t="shared" si="13"/>
        <v>485165</v>
      </c>
      <c r="AK17" s="416">
        <f t="shared" si="14"/>
        <v>2.9503445754841132E-3</v>
      </c>
      <c r="AM17" s="373">
        <f>487624+407864</f>
        <v>895488</v>
      </c>
      <c r="AN17" s="373">
        <v>2075761</v>
      </c>
      <c r="AO17" s="373">
        <v>1558206</v>
      </c>
      <c r="AP17" s="373">
        <v>1176229</v>
      </c>
      <c r="AQ17" s="373">
        <v>154009</v>
      </c>
      <c r="AR17" s="373">
        <v>961655</v>
      </c>
      <c r="AS17" s="373">
        <v>590849</v>
      </c>
      <c r="AT17" s="373"/>
      <c r="AU17" s="372">
        <f t="shared" si="15"/>
        <v>962814.66666666663</v>
      </c>
      <c r="AV17" s="416">
        <f t="shared" si="16"/>
        <v>4.360087624410685E-3</v>
      </c>
      <c r="AW17" s="372">
        <f t="shared" si="17"/>
        <v>763964.33333333337</v>
      </c>
      <c r="AX17" s="416">
        <f t="shared" si="18"/>
        <v>2.7963676394800307E-3</v>
      </c>
      <c r="AY17" s="372">
        <f t="shared" si="19"/>
        <v>568837.66666666663</v>
      </c>
      <c r="AZ17" s="416">
        <f t="shared" si="18"/>
        <v>1.9221317309120549E-3</v>
      </c>
    </row>
    <row r="18" spans="1:52">
      <c r="A18" s="173" t="s">
        <v>78</v>
      </c>
      <c r="B18" s="372">
        <f t="shared" si="1"/>
        <v>59613.296054102218</v>
      </c>
      <c r="C18" s="372">
        <f t="shared" si="2"/>
        <v>71540.564227763956</v>
      </c>
      <c r="D18" s="372">
        <f t="shared" si="3"/>
        <v>71244.332106518705</v>
      </c>
      <c r="E18" s="372"/>
      <c r="G18" s="372">
        <v>122331.87</v>
      </c>
      <c r="H18" s="372">
        <v>140596.9</v>
      </c>
      <c r="I18" s="372">
        <v>95130.93</v>
      </c>
      <c r="J18" s="372">
        <v>146239.32</v>
      </c>
      <c r="K18" s="372">
        <v>306107</v>
      </c>
      <c r="L18" s="372">
        <v>427718</v>
      </c>
      <c r="M18" s="372">
        <v>376615.33</v>
      </c>
      <c r="N18" s="1213">
        <v>330000</v>
      </c>
      <c r="O18" s="372"/>
      <c r="P18" s="372">
        <f t="shared" si="4"/>
        <v>293354.77333333337</v>
      </c>
      <c r="Q18" s="416">
        <f t="shared" si="5"/>
        <v>7.4898332442524234E-3</v>
      </c>
      <c r="R18" s="372">
        <f t="shared" si="6"/>
        <v>370146.77666666667</v>
      </c>
      <c r="S18" s="416">
        <f t="shared" si="7"/>
        <v>8.9883789646422324E-3</v>
      </c>
      <c r="T18" s="372">
        <f t="shared" si="8"/>
        <v>378111.11000000004</v>
      </c>
      <c r="U18" s="416">
        <f t="shared" si="9"/>
        <v>8.9511602678651828E-3</v>
      </c>
      <c r="W18" s="173" t="s">
        <v>78</v>
      </c>
      <c r="X18" s="372">
        <v>405230</v>
      </c>
      <c r="Y18" s="372">
        <v>730294</v>
      </c>
      <c r="Z18" s="372">
        <v>613361</v>
      </c>
      <c r="AA18" s="372">
        <v>647932</v>
      </c>
      <c r="AB18" s="372">
        <v>802698</v>
      </c>
      <c r="AC18" s="372">
        <v>1394316</v>
      </c>
      <c r="AD18" s="372">
        <v>1392597</v>
      </c>
      <c r="AE18" s="372"/>
      <c r="AF18" s="372">
        <f t="shared" si="10"/>
        <v>687997</v>
      </c>
      <c r="AG18" s="416">
        <f t="shared" si="0"/>
        <v>4.7242141664629988E-3</v>
      </c>
      <c r="AH18" s="372">
        <f t="shared" si="11"/>
        <v>948315.33333333337</v>
      </c>
      <c r="AI18" s="416">
        <f t="shared" si="12"/>
        <v>6.0580677410852673E-3</v>
      </c>
      <c r="AJ18" s="372">
        <f t="shared" si="13"/>
        <v>1196537</v>
      </c>
      <c r="AK18" s="416">
        <f t="shared" si="14"/>
        <v>7.2762801259695867E-3</v>
      </c>
      <c r="AM18" s="372">
        <v>690505</v>
      </c>
      <c r="AN18" s="372">
        <v>1091907</v>
      </c>
      <c r="AO18" s="372">
        <f>51000+247062+6466+301475</f>
        <v>606003</v>
      </c>
      <c r="AP18" s="372">
        <f>120000+838150+66839+321695</f>
        <v>1346684</v>
      </c>
      <c r="AQ18" s="372">
        <f>348236+794977+69546+393001+11832</f>
        <v>1617592</v>
      </c>
      <c r="AR18" s="372">
        <f>451355+2133664+76450+428269</f>
        <v>3089738</v>
      </c>
      <c r="AS18" s="372">
        <v>2517058</v>
      </c>
      <c r="AT18" s="372"/>
      <c r="AU18" s="372">
        <f t="shared" si="15"/>
        <v>1190093</v>
      </c>
      <c r="AV18" s="416">
        <f t="shared" si="16"/>
        <v>5.3893131677793847E-3</v>
      </c>
      <c r="AW18" s="372">
        <f t="shared" si="17"/>
        <v>2018004.6666666667</v>
      </c>
      <c r="AX18" s="416">
        <f t="shared" si="18"/>
        <v>7.3865790586903745E-3</v>
      </c>
      <c r="AY18" s="372">
        <f t="shared" si="19"/>
        <v>2408129.3333333335</v>
      </c>
      <c r="AZ18" s="416">
        <f t="shared" si="18"/>
        <v>8.1371928671040185E-3</v>
      </c>
    </row>
    <row r="19" spans="1:52">
      <c r="A19" s="172" t="s">
        <v>79</v>
      </c>
      <c r="B19" s="373">
        <f t="shared" si="1"/>
        <v>1756589.5222618296</v>
      </c>
      <c r="C19" s="373">
        <f t="shared" si="2"/>
        <v>1827767.6473276988</v>
      </c>
      <c r="D19" s="373">
        <f t="shared" si="3"/>
        <v>1899988.1732828058</v>
      </c>
      <c r="E19" s="373"/>
      <c r="G19" s="373">
        <v>7879487.2800000003</v>
      </c>
      <c r="H19" s="373">
        <v>7962627.5499999998</v>
      </c>
      <c r="I19" s="373">
        <v>8649026.9299999997</v>
      </c>
      <c r="J19" s="373">
        <v>8426521.6400000006</v>
      </c>
      <c r="K19" s="373">
        <v>8919188</v>
      </c>
      <c r="L19" s="373">
        <v>8586622</v>
      </c>
      <c r="M19" s="373">
        <v>10864484.970000001</v>
      </c>
      <c r="N19" s="1214">
        <v>10800000</v>
      </c>
      <c r="O19" s="373"/>
      <c r="P19" s="372">
        <f t="shared" si="4"/>
        <v>8644110.5466666669</v>
      </c>
      <c r="Q19" s="416">
        <f t="shared" si="5"/>
        <v>0.2206984594242509</v>
      </c>
      <c r="R19" s="372">
        <f t="shared" si="6"/>
        <v>9456764.9900000002</v>
      </c>
      <c r="S19" s="416">
        <f t="shared" si="7"/>
        <v>0.22964130141872938</v>
      </c>
      <c r="T19" s="372">
        <f t="shared" si="8"/>
        <v>10083702.323333332</v>
      </c>
      <c r="U19" s="416">
        <f t="shared" si="9"/>
        <v>0.23871511098841064</v>
      </c>
      <c r="W19" s="172" t="s">
        <v>79</v>
      </c>
      <c r="X19" s="373">
        <v>24653704</v>
      </c>
      <c r="Y19" s="373">
        <v>21970515</v>
      </c>
      <c r="Z19" s="373">
        <v>21510931</v>
      </c>
      <c r="AA19" s="373">
        <v>21022770</v>
      </c>
      <c r="AB19" s="373">
        <v>22943458</v>
      </c>
      <c r="AC19" s="373">
        <v>22138056</v>
      </c>
      <c r="AD19" s="373">
        <v>21731682</v>
      </c>
      <c r="AE19" s="373"/>
      <c r="AF19" s="373">
        <f t="shared" si="10"/>
        <v>21825719.666666668</v>
      </c>
      <c r="AG19" s="416">
        <f t="shared" si="0"/>
        <v>0.14986892972282836</v>
      </c>
      <c r="AH19" s="372">
        <f>AVERAGE(AA19:AC19)</f>
        <v>22034761.333333332</v>
      </c>
      <c r="AI19" s="416">
        <f t="shared" si="12"/>
        <v>0.14076338547302442</v>
      </c>
      <c r="AJ19" s="372">
        <f t="shared" si="13"/>
        <v>22271065.333333332</v>
      </c>
      <c r="AK19" s="416">
        <f t="shared" si="14"/>
        <v>0.13543292858399159</v>
      </c>
      <c r="AM19" s="373">
        <f>1701900+33874366</f>
        <v>35576266</v>
      </c>
      <c r="AN19" s="373">
        <v>40135984</v>
      </c>
      <c r="AO19" s="373">
        <v>41488436</v>
      </c>
      <c r="AP19" s="373">
        <v>38875104</v>
      </c>
      <c r="AQ19" s="373">
        <v>44598359</v>
      </c>
      <c r="AR19" s="373">
        <v>160129056</v>
      </c>
      <c r="AS19" s="373">
        <v>120217246</v>
      </c>
      <c r="AT19" s="373"/>
      <c r="AU19" s="372">
        <f t="shared" si="15"/>
        <v>41653966.333333336</v>
      </c>
      <c r="AV19" s="416">
        <f t="shared" si="16"/>
        <v>0.18862918213154142</v>
      </c>
      <c r="AW19" s="372">
        <f>AVERAGE(AP19:AR19)</f>
        <v>81200839.666666672</v>
      </c>
      <c r="AX19" s="416">
        <f t="shared" si="18"/>
        <v>0.29722251476287043</v>
      </c>
      <c r="AY19" s="372">
        <f t="shared" si="19"/>
        <v>108314887</v>
      </c>
      <c r="AZ19" s="416">
        <f t="shared" si="18"/>
        <v>0.36600157379320342</v>
      </c>
    </row>
    <row r="20" spans="1:52">
      <c r="A20" s="172" t="s">
        <v>80</v>
      </c>
      <c r="B20" s="374">
        <f>B$3*(B$5*AG20+B$6*Q20+B$7*AV20)</f>
        <v>161970.45202587923</v>
      </c>
      <c r="C20" s="374">
        <f>B$3*(B$5*AI20+B$6*S20+B$7*AX20)</f>
        <v>186565.40310429991</v>
      </c>
      <c r="D20" s="374">
        <f t="shared" si="3"/>
        <v>208609.25174574152</v>
      </c>
      <c r="E20" s="374"/>
      <c r="G20" s="374">
        <v>749611.89</v>
      </c>
      <c r="H20" s="374">
        <v>529169.03</v>
      </c>
      <c r="I20" s="374">
        <v>258863.42</v>
      </c>
      <c r="J20" s="374">
        <v>589453.39</v>
      </c>
      <c r="K20" s="374">
        <v>839415</v>
      </c>
      <c r="L20" s="374">
        <v>962283</v>
      </c>
      <c r="M20" s="374">
        <v>1094138.0900000001</v>
      </c>
      <c r="N20" s="1215">
        <v>1265000</v>
      </c>
      <c r="O20" s="374"/>
      <c r="P20" s="372">
        <f t="shared" si="4"/>
        <v>797050.46333333338</v>
      </c>
      <c r="Q20" s="416">
        <f t="shared" si="5"/>
        <v>2.0350018476902224E-2</v>
      </c>
      <c r="R20" s="372">
        <f t="shared" si="6"/>
        <v>965278.69666666666</v>
      </c>
      <c r="S20" s="416">
        <f t="shared" si="7"/>
        <v>2.3440135857104371E-2</v>
      </c>
      <c r="T20" s="372">
        <f t="shared" si="8"/>
        <v>1107140.3633333333</v>
      </c>
      <c r="U20" s="416">
        <f t="shared" si="9"/>
        <v>2.6209731925674318E-2</v>
      </c>
      <c r="W20" s="172" t="s">
        <v>80</v>
      </c>
      <c r="X20" s="374">
        <v>2739931</v>
      </c>
      <c r="Y20" s="374">
        <v>2306924</v>
      </c>
      <c r="Z20" s="374">
        <v>1494788</v>
      </c>
      <c r="AA20" s="374">
        <v>2085526</v>
      </c>
      <c r="AB20" s="374">
        <v>2739390</v>
      </c>
      <c r="AC20" s="374">
        <v>3824623</v>
      </c>
      <c r="AD20" s="374">
        <v>4639185</v>
      </c>
      <c r="AE20" s="374"/>
      <c r="AF20" s="374">
        <f t="shared" si="10"/>
        <v>2106568</v>
      </c>
      <c r="AG20" s="416">
        <f t="shared" si="0"/>
        <v>1.4465002591897386E-2</v>
      </c>
      <c r="AH20" s="372">
        <f>AVERAGE(AA20:AC20)</f>
        <v>2883179.6666666665</v>
      </c>
      <c r="AI20" s="416">
        <f t="shared" si="12"/>
        <v>1.8418449134415527E-2</v>
      </c>
      <c r="AJ20" s="372">
        <f t="shared" si="13"/>
        <v>3734399.3333333335</v>
      </c>
      <c r="AK20" s="416">
        <f t="shared" si="14"/>
        <v>2.2709315007866375E-2</v>
      </c>
      <c r="AM20" s="374">
        <v>1670138</v>
      </c>
      <c r="AN20" s="374">
        <v>900941</v>
      </c>
      <c r="AO20" s="374">
        <f>1187718+2711990</f>
        <v>3899708</v>
      </c>
      <c r="AP20" s="374">
        <f>2936386+97036</f>
        <v>3033422</v>
      </c>
      <c r="AQ20" s="374">
        <f>3370143+6199270</f>
        <v>9569413</v>
      </c>
      <c r="AR20" s="374">
        <v>5931893</v>
      </c>
      <c r="AS20" s="374">
        <v>4913235</v>
      </c>
      <c r="AT20" s="374"/>
      <c r="AU20" s="372">
        <f t="shared" si="15"/>
        <v>5500847.666666667</v>
      </c>
      <c r="AV20" s="416">
        <f t="shared" si="16"/>
        <v>2.4910482427772596E-2</v>
      </c>
      <c r="AW20" s="372">
        <f t="shared" si="17"/>
        <v>6178242.666666667</v>
      </c>
      <c r="AX20" s="416">
        <f t="shared" si="18"/>
        <v>2.261445607878048E-2</v>
      </c>
      <c r="AY20" s="372">
        <f t="shared" si="19"/>
        <v>6804847</v>
      </c>
      <c r="AZ20" s="416">
        <f t="shared" si="18"/>
        <v>2.2993927985374338E-2</v>
      </c>
    </row>
    <row r="21" spans="1:52">
      <c r="A21" s="173" t="s">
        <v>81</v>
      </c>
      <c r="B21" s="372">
        <f t="shared" ref="B21:B30" si="20">B$3*(B$5*AG21+B$6*Q21+B$7*AV21)</f>
        <v>609174.99000957806</v>
      </c>
      <c r="C21" s="372">
        <f t="shared" ref="C21:C29" si="21">B$3*(B$5*AI21+B$6*S21+B$7*AX21)</f>
        <v>618178.85403908032</v>
      </c>
      <c r="D21" s="372">
        <f t="shared" si="3"/>
        <v>622153.69255656225</v>
      </c>
      <c r="E21" s="372"/>
      <c r="G21" s="372">
        <v>4097528.96</v>
      </c>
      <c r="H21" s="372">
        <v>3418431.62</v>
      </c>
      <c r="I21" s="372">
        <v>2859034.74</v>
      </c>
      <c r="J21" s="372">
        <v>2868546.2</v>
      </c>
      <c r="K21" s="372">
        <v>3049500</v>
      </c>
      <c r="L21" s="372">
        <v>3075135</v>
      </c>
      <c r="M21" s="372">
        <v>3470630.82</v>
      </c>
      <c r="N21" s="1213">
        <v>3360000</v>
      </c>
      <c r="O21" s="372"/>
      <c r="P21" s="372">
        <f t="shared" si="4"/>
        <v>2997727.0666666664</v>
      </c>
      <c r="Q21" s="416">
        <f t="shared" si="5"/>
        <v>7.6536937122216125E-2</v>
      </c>
      <c r="R21" s="372">
        <f t="shared" si="6"/>
        <v>3198421.94</v>
      </c>
      <c r="S21" s="416">
        <f t="shared" si="7"/>
        <v>7.7668185427521894E-2</v>
      </c>
      <c r="T21" s="372">
        <f t="shared" si="8"/>
        <v>3301921.94</v>
      </c>
      <c r="U21" s="416">
        <f t="shared" si="9"/>
        <v>7.8167585387587057E-2</v>
      </c>
      <c r="W21" s="173" t="s">
        <v>81</v>
      </c>
      <c r="X21" s="372">
        <v>14033591</v>
      </c>
      <c r="Y21" s="372">
        <v>8786068</v>
      </c>
      <c r="Z21" s="372">
        <v>13065769</v>
      </c>
      <c r="AA21" s="372">
        <v>11748064</v>
      </c>
      <c r="AB21" s="372">
        <v>12961767</v>
      </c>
      <c r="AC21" s="372">
        <v>10970466</v>
      </c>
      <c r="AD21" s="372">
        <v>11630378</v>
      </c>
      <c r="AE21" s="372"/>
      <c r="AF21" s="372">
        <f t="shared" si="10"/>
        <v>12591866.666666666</v>
      </c>
      <c r="AG21" s="416">
        <f t="shared" si="0"/>
        <v>8.6463567266833838E-2</v>
      </c>
      <c r="AH21" s="372">
        <f t="shared" si="11"/>
        <v>11893432.333333334</v>
      </c>
      <c r="AI21" s="416">
        <f t="shared" si="12"/>
        <v>7.5978122694786279E-2</v>
      </c>
      <c r="AJ21" s="372">
        <f t="shared" si="13"/>
        <v>11854203.666666666</v>
      </c>
      <c r="AK21" s="416">
        <f t="shared" si="14"/>
        <v>7.2086785907132384E-2</v>
      </c>
      <c r="AM21" s="372">
        <f>24834234-1701900-407864</f>
        <v>22724470</v>
      </c>
      <c r="AN21" s="372">
        <v>8106951</v>
      </c>
      <c r="AO21" s="372">
        <v>9924152</v>
      </c>
      <c r="AP21" s="372">
        <f>15376529+11698890</f>
        <v>27075419</v>
      </c>
      <c r="AQ21" s="372">
        <f>5574098+7776305</f>
        <v>13350403</v>
      </c>
      <c r="AR21" s="372">
        <f>9295544+8881645</f>
        <v>18177189</v>
      </c>
      <c r="AS21" s="372">
        <v>11923163</v>
      </c>
      <c r="AT21" s="372"/>
      <c r="AU21" s="372">
        <f t="shared" si="15"/>
        <v>16783324.666666668</v>
      </c>
      <c r="AV21" s="416">
        <f t="shared" si="16"/>
        <v>7.6002961638446095E-2</v>
      </c>
      <c r="AW21" s="372">
        <f t="shared" si="17"/>
        <v>19534337</v>
      </c>
      <c r="AX21" s="416">
        <f t="shared" si="18"/>
        <v>7.1502274991237486E-2</v>
      </c>
      <c r="AY21" s="372">
        <f t="shared" si="19"/>
        <v>14483585</v>
      </c>
      <c r="AZ21" s="416">
        <f t="shared" si="18"/>
        <v>4.8940778603846345E-2</v>
      </c>
    </row>
    <row r="22" spans="1:52">
      <c r="A22" s="172" t="s">
        <v>82</v>
      </c>
      <c r="B22" s="374">
        <f t="shared" si="20"/>
        <v>123777.09110919846</v>
      </c>
      <c r="C22" s="374">
        <f t="shared" si="21"/>
        <v>136659.19862443622</v>
      </c>
      <c r="D22" s="374">
        <f t="shared" si="3"/>
        <v>138941.99720139903</v>
      </c>
      <c r="E22" s="374"/>
      <c r="G22" s="374">
        <v>629146.44999999995</v>
      </c>
      <c r="H22" s="374">
        <v>499557.58</v>
      </c>
      <c r="I22" s="374">
        <v>556290.78</v>
      </c>
      <c r="J22" s="374">
        <v>548946.14</v>
      </c>
      <c r="K22" s="374">
        <v>504003</v>
      </c>
      <c r="L22" s="374">
        <v>774358</v>
      </c>
      <c r="M22" s="374">
        <v>842839.57</v>
      </c>
      <c r="N22" s="1215">
        <v>595000</v>
      </c>
      <c r="O22" s="374"/>
      <c r="P22" s="372">
        <f t="shared" si="4"/>
        <v>609102.38</v>
      </c>
      <c r="Q22" s="416">
        <f t="shared" si="5"/>
        <v>1.5551392612567017E-2</v>
      </c>
      <c r="R22" s="372">
        <f t="shared" si="6"/>
        <v>707066.85666666657</v>
      </c>
      <c r="S22" s="416">
        <f t="shared" si="7"/>
        <v>1.7169904647803193E-2</v>
      </c>
      <c r="T22" s="372">
        <f>AVERAGE(L22,M22,N22)</f>
        <v>737399.19</v>
      </c>
      <c r="U22" s="416">
        <f t="shared" si="9"/>
        <v>1.7456716178173046E-2</v>
      </c>
      <c r="W22" s="172" t="s">
        <v>82</v>
      </c>
      <c r="X22" s="374">
        <v>1840682</v>
      </c>
      <c r="Y22" s="374">
        <v>1393889</v>
      </c>
      <c r="Z22" s="374">
        <v>1519266</v>
      </c>
      <c r="AA22" s="374">
        <v>1590477</v>
      </c>
      <c r="AB22" s="374">
        <v>1464011</v>
      </c>
      <c r="AC22" s="374">
        <v>2043945</v>
      </c>
      <c r="AD22" s="374">
        <v>2223133</v>
      </c>
      <c r="AE22" s="374"/>
      <c r="AF22" s="374">
        <f t="shared" si="10"/>
        <v>1524584.6666666667</v>
      </c>
      <c r="AG22" s="416">
        <f t="shared" si="0"/>
        <v>1.0468744021033429E-2</v>
      </c>
      <c r="AH22" s="372">
        <f t="shared" si="11"/>
        <v>1699477.6666666667</v>
      </c>
      <c r="AI22" s="416">
        <f t="shared" si="12"/>
        <v>1.0856674428050508E-2</v>
      </c>
      <c r="AJ22" s="372">
        <f t="shared" si="13"/>
        <v>1910363</v>
      </c>
      <c r="AK22" s="416">
        <f t="shared" si="14"/>
        <v>1.1617138734771793E-2</v>
      </c>
      <c r="AM22" s="374">
        <v>1956307</v>
      </c>
      <c r="AN22" s="374">
        <v>1681511</v>
      </c>
      <c r="AO22" s="374">
        <v>3906737</v>
      </c>
      <c r="AP22" s="374">
        <v>1293078</v>
      </c>
      <c r="AQ22" s="374">
        <v>2977310</v>
      </c>
      <c r="AR22" s="374">
        <f>2944865</f>
        <v>2944865</v>
      </c>
      <c r="AS22" s="374">
        <v>2934504</v>
      </c>
      <c r="AT22" s="374"/>
      <c r="AU22" s="374">
        <f>AVERAGE(AN22:AP22)</f>
        <v>2293775.3333333335</v>
      </c>
      <c r="AV22" s="416">
        <f>AU22/AU$54</f>
        <v>1.0387317300295759E-2</v>
      </c>
      <c r="AW22" s="372">
        <f>AVERAGE(AO22:AQ22)</f>
        <v>2725708.3333333335</v>
      </c>
      <c r="AX22" s="416">
        <f>AW22/AW$54</f>
        <v>9.977013645045012E-3</v>
      </c>
      <c r="AY22" s="372">
        <f>AVERAGE(AP22,AQ22,AR22)</f>
        <v>2405084.3333333335</v>
      </c>
      <c r="AZ22" s="416">
        <f>AY22/AY$54</f>
        <v>8.1269036555000757E-3</v>
      </c>
    </row>
    <row r="23" spans="1:52">
      <c r="A23" s="172" t="s">
        <v>83</v>
      </c>
      <c r="B23" s="373">
        <f t="shared" si="20"/>
        <v>0</v>
      </c>
      <c r="C23" s="373">
        <f t="shared" si="21"/>
        <v>0</v>
      </c>
      <c r="D23" s="373">
        <f t="shared" si="3"/>
        <v>0</v>
      </c>
      <c r="E23" s="373"/>
      <c r="G23" s="373"/>
      <c r="H23" s="373"/>
      <c r="I23" s="373"/>
      <c r="J23" s="373"/>
      <c r="K23" s="373"/>
      <c r="L23" s="373"/>
      <c r="M23" s="373"/>
      <c r="N23" s="1214"/>
      <c r="O23" s="373"/>
      <c r="P23" s="373"/>
      <c r="Q23" s="416"/>
      <c r="R23" s="373"/>
      <c r="S23" s="416"/>
      <c r="T23" s="373"/>
      <c r="U23" s="416"/>
      <c r="W23" s="172" t="s">
        <v>83</v>
      </c>
      <c r="X23" s="373">
        <v>0</v>
      </c>
      <c r="Y23" s="373"/>
      <c r="Z23" s="373"/>
      <c r="AA23" s="373"/>
      <c r="AB23" s="373"/>
      <c r="AC23" s="373"/>
      <c r="AD23" s="373"/>
      <c r="AE23" s="373"/>
      <c r="AF23" s="373"/>
      <c r="AG23" s="416"/>
      <c r="AH23" s="373"/>
      <c r="AI23" s="416"/>
      <c r="AJ23" s="373"/>
      <c r="AK23" s="416"/>
      <c r="AM23" s="373"/>
      <c r="AN23" s="373"/>
      <c r="AO23" s="373"/>
      <c r="AP23" s="373"/>
      <c r="AQ23" s="373"/>
      <c r="AR23" s="373"/>
      <c r="AS23" s="373"/>
      <c r="AT23" s="373"/>
      <c r="AU23" s="373"/>
      <c r="AV23" s="416"/>
      <c r="AW23" s="373"/>
      <c r="AX23" s="416"/>
      <c r="AY23" s="373"/>
      <c r="AZ23" s="416"/>
    </row>
    <row r="24" spans="1:52">
      <c r="A24" s="173" t="s">
        <v>84</v>
      </c>
      <c r="B24" s="372">
        <f t="shared" si="20"/>
        <v>0</v>
      </c>
      <c r="C24" s="372">
        <f t="shared" si="21"/>
        <v>0</v>
      </c>
      <c r="D24" s="372">
        <f t="shared" si="3"/>
        <v>0</v>
      </c>
      <c r="E24" s="372"/>
      <c r="G24" s="372"/>
      <c r="H24" s="372"/>
      <c r="I24" s="372"/>
      <c r="J24" s="372"/>
      <c r="K24" s="372"/>
      <c r="L24" s="372"/>
      <c r="M24" s="372"/>
      <c r="N24" s="1213"/>
      <c r="O24" s="372"/>
      <c r="P24" s="372"/>
      <c r="Q24" s="416"/>
      <c r="R24" s="372"/>
      <c r="S24" s="416"/>
      <c r="T24" s="372"/>
      <c r="U24" s="416"/>
      <c r="W24" s="173" t="s">
        <v>84</v>
      </c>
      <c r="X24" s="372">
        <v>127342</v>
      </c>
      <c r="Y24" s="372">
        <v>106888</v>
      </c>
      <c r="Z24" s="372">
        <v>89485</v>
      </c>
      <c r="AA24" s="372">
        <v>199097</v>
      </c>
      <c r="AB24" s="372">
        <v>24911</v>
      </c>
      <c r="AC24" s="372">
        <v>0</v>
      </c>
      <c r="AD24" s="372">
        <v>4250</v>
      </c>
      <c r="AE24" s="372"/>
      <c r="AF24" s="372">
        <f t="shared" si="10"/>
        <v>104497.66666666667</v>
      </c>
      <c r="AG24" s="416"/>
      <c r="AH24" s="372">
        <f>AVERAGE(AA24:AC24)</f>
        <v>74669.333333333328</v>
      </c>
      <c r="AI24" s="416">
        <f>AH24/AH$54</f>
        <v>4.7700576339411308E-4</v>
      </c>
      <c r="AJ24" s="372"/>
      <c r="AK24" s="416"/>
      <c r="AM24" s="372"/>
      <c r="AN24" s="372"/>
      <c r="AO24" s="372"/>
      <c r="AP24" s="372"/>
      <c r="AQ24" s="372">
        <v>1000</v>
      </c>
      <c r="AR24" s="372"/>
      <c r="AS24" s="372">
        <v>4250</v>
      </c>
      <c r="AT24" s="372"/>
      <c r="AU24" s="372">
        <f>AVERAGE(AO24:AQ24)</f>
        <v>1000</v>
      </c>
      <c r="AV24" s="416">
        <f>AU24/AU$54</f>
        <v>4.5284806882986327E-6</v>
      </c>
      <c r="AW24" s="372">
        <f>AVERAGE(AP24:AR24)</f>
        <v>1000</v>
      </c>
      <c r="AX24" s="416">
        <f>AW24/AW$54</f>
        <v>3.6603379470333439E-6</v>
      </c>
      <c r="AY24" s="372">
        <f>AVERAGE(AR24,AQ24,AS24)</f>
        <v>2625</v>
      </c>
      <c r="AZ24" s="416">
        <f>AY24/AY$54</f>
        <v>8.8700100034001703E-6</v>
      </c>
    </row>
    <row r="25" spans="1:52">
      <c r="A25" s="49" t="s">
        <v>86</v>
      </c>
      <c r="B25" s="50">
        <f t="shared" si="20"/>
        <v>0</v>
      </c>
      <c r="C25" s="50">
        <f t="shared" si="21"/>
        <v>0</v>
      </c>
      <c r="D25" s="50">
        <f t="shared" si="3"/>
        <v>0</v>
      </c>
      <c r="E25" s="50"/>
      <c r="G25" s="50"/>
      <c r="H25" s="50"/>
      <c r="I25" s="50"/>
      <c r="J25" s="50"/>
      <c r="K25" s="50"/>
      <c r="L25" s="50"/>
      <c r="M25" s="50"/>
      <c r="N25" s="1216"/>
      <c r="O25" s="50"/>
      <c r="P25" s="50"/>
      <c r="Q25" s="416"/>
      <c r="R25" s="50"/>
      <c r="S25" s="416"/>
      <c r="T25" s="50"/>
      <c r="U25" s="416"/>
      <c r="W25" s="49" t="s">
        <v>86</v>
      </c>
      <c r="X25" s="50">
        <v>0</v>
      </c>
      <c r="Y25" s="50"/>
      <c r="Z25" s="50"/>
      <c r="AA25" s="50"/>
      <c r="AB25" s="50"/>
      <c r="AC25" s="50"/>
      <c r="AD25" s="50"/>
      <c r="AE25" s="50"/>
      <c r="AF25" s="50"/>
      <c r="AG25" s="416"/>
      <c r="AH25" s="50"/>
      <c r="AI25" s="416"/>
      <c r="AJ25" s="50"/>
      <c r="AK25" s="416"/>
      <c r="AM25" s="50"/>
      <c r="AN25" s="50"/>
      <c r="AO25" s="50"/>
      <c r="AP25" s="50"/>
      <c r="AQ25" s="50">
        <v>98974</v>
      </c>
      <c r="AR25" s="50">
        <v>41677</v>
      </c>
      <c r="AS25" s="50">
        <v>-41236</v>
      </c>
      <c r="AT25" s="50"/>
      <c r="AU25" s="372">
        <f>AVERAGE(AO25:AQ25)</f>
        <v>98974</v>
      </c>
      <c r="AV25" s="416">
        <f>AU25/AU$54</f>
        <v>4.4820184764366887E-4</v>
      </c>
      <c r="AW25" s="372">
        <f>AVERAGE(AP25:AR25)</f>
        <v>70325.5</v>
      </c>
      <c r="AX25" s="416">
        <f>AW25/AW$54</f>
        <v>2.5741509629409345E-4</v>
      </c>
      <c r="AY25" s="372">
        <f>AVERAGE(AR25,AQ25,AS25)</f>
        <v>33138.333333333336</v>
      </c>
      <c r="AZ25" s="416">
        <f>AY25/AY$54</f>
        <v>1.1197613263340037E-4</v>
      </c>
    </row>
    <row r="26" spans="1:52">
      <c r="A26" s="172" t="s">
        <v>87</v>
      </c>
      <c r="B26" s="44">
        <f t="shared" si="20"/>
        <v>0</v>
      </c>
      <c r="C26" s="44">
        <f t="shared" si="21"/>
        <v>0</v>
      </c>
      <c r="D26" s="44">
        <f t="shared" si="3"/>
        <v>0</v>
      </c>
      <c r="E26" s="44"/>
      <c r="G26" s="44"/>
      <c r="H26" s="44"/>
      <c r="I26" s="44"/>
      <c r="J26" s="44"/>
      <c r="K26" s="44"/>
      <c r="L26" s="44"/>
      <c r="M26" s="44"/>
      <c r="N26" s="1217"/>
      <c r="O26" s="44"/>
      <c r="P26" s="44"/>
      <c r="Q26" s="416"/>
      <c r="R26" s="44"/>
      <c r="S26" s="416"/>
      <c r="T26" s="44"/>
      <c r="U26" s="416"/>
      <c r="W26" s="172" t="s">
        <v>87</v>
      </c>
      <c r="X26" s="44">
        <v>0</v>
      </c>
      <c r="Y26" s="44"/>
      <c r="Z26" s="44"/>
      <c r="AA26" s="44"/>
      <c r="AB26" s="44"/>
      <c r="AC26" s="44"/>
      <c r="AD26" s="44"/>
      <c r="AE26" s="44"/>
      <c r="AF26" s="44"/>
      <c r="AG26" s="416"/>
      <c r="AH26" s="44"/>
      <c r="AI26" s="416"/>
      <c r="AJ26" s="44"/>
      <c r="AK26" s="416"/>
      <c r="AM26" s="44"/>
      <c r="AN26" s="44"/>
      <c r="AO26" s="44"/>
      <c r="AP26" s="44"/>
      <c r="AQ26" s="44"/>
      <c r="AR26" s="44"/>
      <c r="AS26" s="44"/>
      <c r="AT26" s="44"/>
      <c r="AU26" s="44"/>
      <c r="AV26" s="416"/>
      <c r="AW26" s="44"/>
      <c r="AX26" s="416"/>
      <c r="AY26" s="44"/>
      <c r="AZ26" s="416"/>
    </row>
    <row r="27" spans="1:52">
      <c r="A27" s="359" t="s">
        <v>452</v>
      </c>
      <c r="B27" s="221">
        <f t="shared" si="20"/>
        <v>0</v>
      </c>
      <c r="C27" s="221">
        <f t="shared" si="21"/>
        <v>0</v>
      </c>
      <c r="D27" s="221">
        <f t="shared" si="3"/>
        <v>0</v>
      </c>
      <c r="E27" s="221"/>
      <c r="G27" s="221">
        <v>0</v>
      </c>
      <c r="H27" s="221">
        <v>2590.7600000000002</v>
      </c>
      <c r="I27" s="221">
        <v>-109.57</v>
      </c>
      <c r="J27" s="221">
        <v>0</v>
      </c>
      <c r="K27" s="221"/>
      <c r="L27" s="221"/>
      <c r="M27" s="221"/>
      <c r="N27" s="1218"/>
      <c r="O27" s="221"/>
      <c r="P27" s="372">
        <f>AVERAGE(J27:L27)</f>
        <v>0</v>
      </c>
      <c r="Q27" s="416">
        <f>P27/P$54</f>
        <v>0</v>
      </c>
      <c r="R27" s="372"/>
      <c r="S27" s="416">
        <f>R27/R$54</f>
        <v>0</v>
      </c>
      <c r="T27" s="372"/>
      <c r="U27" s="416">
        <f>T27/T$54</f>
        <v>0</v>
      </c>
      <c r="W27" s="359" t="s">
        <v>452</v>
      </c>
      <c r="X27" s="221">
        <v>0</v>
      </c>
      <c r="Y27" s="221">
        <v>7851</v>
      </c>
      <c r="Z27" s="221"/>
      <c r="AA27" s="221"/>
      <c r="AB27" s="221"/>
      <c r="AC27" s="221"/>
      <c r="AD27" s="221"/>
      <c r="AE27" s="221"/>
      <c r="AF27" s="221"/>
      <c r="AG27" s="416">
        <f>AF27/AF$54</f>
        <v>0</v>
      </c>
      <c r="AH27" s="372"/>
      <c r="AI27" s="416">
        <f>AH27/AH$54</f>
        <v>0</v>
      </c>
      <c r="AJ27" s="372"/>
      <c r="AK27" s="416">
        <f>AJ27/AJ$54</f>
        <v>0</v>
      </c>
      <c r="AM27" s="221">
        <v>0</v>
      </c>
      <c r="AN27" s="221">
        <v>10000</v>
      </c>
      <c r="AO27" s="221">
        <v>0</v>
      </c>
      <c r="AP27" s="221">
        <v>0</v>
      </c>
      <c r="AQ27" s="221"/>
      <c r="AR27" s="221"/>
      <c r="AS27" s="221"/>
      <c r="AT27" s="221"/>
      <c r="AU27" s="221"/>
      <c r="AV27" s="416">
        <f>AU27/AU$54</f>
        <v>0</v>
      </c>
      <c r="AW27" s="372"/>
      <c r="AX27" s="416">
        <f>AW27/AW$54</f>
        <v>0</v>
      </c>
      <c r="AY27" s="372"/>
      <c r="AZ27" s="416">
        <f>AY27/AY$54</f>
        <v>0</v>
      </c>
    </row>
    <row r="28" spans="1:52">
      <c r="A28" s="358" t="s">
        <v>453</v>
      </c>
      <c r="B28" s="50">
        <f t="shared" si="20"/>
        <v>0</v>
      </c>
      <c r="C28" s="50">
        <f t="shared" si="21"/>
        <v>0</v>
      </c>
      <c r="D28" s="50">
        <f t="shared" si="3"/>
        <v>0</v>
      </c>
      <c r="E28" s="50"/>
      <c r="G28" s="50"/>
      <c r="H28" s="50"/>
      <c r="I28" s="50"/>
      <c r="J28" s="50"/>
      <c r="K28" s="50"/>
      <c r="L28" s="50"/>
      <c r="M28" s="50"/>
      <c r="N28" s="1216"/>
      <c r="O28" s="50"/>
      <c r="P28" s="50"/>
      <c r="Q28" s="416"/>
      <c r="R28" s="50"/>
      <c r="S28" s="416"/>
      <c r="T28" s="50"/>
      <c r="U28" s="416"/>
      <c r="W28" s="358" t="s">
        <v>453</v>
      </c>
      <c r="X28" s="50">
        <v>45047</v>
      </c>
      <c r="Y28" s="50"/>
      <c r="Z28" s="50"/>
      <c r="AA28" s="50"/>
      <c r="AB28" s="50"/>
      <c r="AC28" s="50"/>
      <c r="AD28" s="50"/>
      <c r="AE28" s="50"/>
      <c r="AF28" s="50"/>
      <c r="AG28" s="416"/>
      <c r="AH28" s="50"/>
      <c r="AI28" s="416"/>
      <c r="AJ28" s="50"/>
      <c r="AK28" s="416"/>
      <c r="AM28" s="50"/>
      <c r="AN28" s="50"/>
      <c r="AO28" s="50"/>
      <c r="AP28" s="50"/>
      <c r="AQ28" s="50"/>
      <c r="AR28" s="50"/>
      <c r="AS28" s="50"/>
      <c r="AT28" s="50"/>
      <c r="AU28" s="50"/>
      <c r="AV28" s="416"/>
      <c r="AW28" s="50"/>
      <c r="AX28" s="416"/>
      <c r="AY28" s="50"/>
      <c r="AZ28" s="416"/>
    </row>
    <row r="29" spans="1:52">
      <c r="A29" s="172" t="s">
        <v>88</v>
      </c>
      <c r="B29" s="44">
        <f t="shared" si="20"/>
        <v>3599.6788442161601</v>
      </c>
      <c r="C29" s="44">
        <f t="shared" si="21"/>
        <v>3143.1452616486304</v>
      </c>
      <c r="D29" s="44">
        <f t="shared" si="3"/>
        <v>1809.122006452656</v>
      </c>
      <c r="E29" s="44"/>
      <c r="G29" s="44">
        <v>1493.72</v>
      </c>
      <c r="H29" s="44">
        <v>4183.84</v>
      </c>
      <c r="I29" s="44">
        <v>5770.16</v>
      </c>
      <c r="J29" s="44">
        <v>13865.65</v>
      </c>
      <c r="K29" s="44">
        <v>19983</v>
      </c>
      <c r="L29" s="44">
        <v>19293</v>
      </c>
      <c r="M29" s="44">
        <v>9511.36</v>
      </c>
      <c r="N29" s="1217">
        <v>0</v>
      </c>
      <c r="O29" s="44"/>
      <c r="P29" s="372">
        <f>AVERAGE(J29:L29)</f>
        <v>17713.883333333335</v>
      </c>
      <c r="Q29" s="416">
        <f>P29/P$54</f>
        <v>4.5226478085650236E-4</v>
      </c>
      <c r="R29" s="372">
        <f>AVERAGE(K29,L29,M29)</f>
        <v>16262.453333333333</v>
      </c>
      <c r="S29" s="416">
        <f>R29/R$54</f>
        <v>3.9490575811887868E-4</v>
      </c>
      <c r="T29" s="372">
        <f>AVERAGE(L29,M29,N29)</f>
        <v>9601.4533333333329</v>
      </c>
      <c r="U29" s="416">
        <f>T29/T$54</f>
        <v>2.2729865724150513E-4</v>
      </c>
      <c r="W29" s="172" t="s">
        <v>88</v>
      </c>
      <c r="X29" s="44">
        <v>19449</v>
      </c>
      <c r="Y29" s="44">
        <v>23622</v>
      </c>
      <c r="Z29" s="44">
        <v>17935</v>
      </c>
      <c r="AA29" s="44">
        <v>75641</v>
      </c>
      <c r="AB29" s="44">
        <v>44825</v>
      </c>
      <c r="AC29" s="44">
        <v>19678</v>
      </c>
      <c r="AD29" s="44">
        <v>540</v>
      </c>
      <c r="AE29" s="44"/>
      <c r="AF29" s="44">
        <f t="shared" si="10"/>
        <v>46133.666666666664</v>
      </c>
      <c r="AG29" s="416">
        <f>AF29/AF$54</f>
        <v>3.1678237204166369E-4</v>
      </c>
      <c r="AH29" s="372">
        <f>AVERAGE(AA29:AC29)</f>
        <v>46714.666666666664</v>
      </c>
      <c r="AI29" s="416">
        <f>AH29/AH$54</f>
        <v>2.9842459066240754E-4</v>
      </c>
      <c r="AJ29" s="372">
        <f>AVERAGE(AB29,AC29,AD29)</f>
        <v>21681</v>
      </c>
      <c r="AK29" s="416">
        <f>AJ29/AJ$54</f>
        <v>1.3184467292791331E-4</v>
      </c>
      <c r="AM29" s="44">
        <v>49180</v>
      </c>
      <c r="AN29" s="44">
        <v>188036</v>
      </c>
      <c r="AO29" s="44">
        <v>224099</v>
      </c>
      <c r="AP29" s="44">
        <v>431168</v>
      </c>
      <c r="AQ29" s="44">
        <f>5500+96437+64776+3177</f>
        <v>169890</v>
      </c>
      <c r="AR29" s="44">
        <f>9717-64776</f>
        <v>-55059</v>
      </c>
      <c r="AS29" s="44">
        <f>-56581-57234</f>
        <v>-113815</v>
      </c>
      <c r="AT29" s="44"/>
      <c r="AU29" s="372">
        <f>AVERAGE(AO29:AQ29)</f>
        <v>275052.33333333331</v>
      </c>
      <c r="AV29" s="416">
        <f>AU29/AU$54</f>
        <v>1.2455691797714783E-3</v>
      </c>
      <c r="AW29" s="372">
        <f>AVERAGE(AP29:AR29)</f>
        <v>181999.66666666666</v>
      </c>
      <c r="AX29" s="416">
        <f t="shared" ref="AX29:AZ30" si="22">AW29/AW$54</f>
        <v>6.6618028624741959E-4</v>
      </c>
      <c r="AY29" s="372">
        <f>AVERAGE(AR29,AQ29,AS29)</f>
        <v>338.66666666666669</v>
      </c>
      <c r="AZ29" s="416">
        <f t="shared" si="22"/>
        <v>1.1443720842481997E-6</v>
      </c>
    </row>
    <row r="30" spans="1:52">
      <c r="A30" s="359" t="s">
        <v>89</v>
      </c>
      <c r="B30" s="375">
        <f t="shared" si="20"/>
        <v>846521.08381614741</v>
      </c>
      <c r="C30" s="372">
        <f>B$3*(B$5*AI30+B$6*Q30+B$7*AW30)</f>
        <v>846521.08381614741</v>
      </c>
      <c r="D30" s="375">
        <f t="shared" si="3"/>
        <v>829840.57305342832</v>
      </c>
      <c r="E30" s="375"/>
      <c r="G30" s="375">
        <v>5000351.83</v>
      </c>
      <c r="H30" s="375">
        <v>4448459.2300000004</v>
      </c>
      <c r="I30" s="375">
        <v>4316658.5</v>
      </c>
      <c r="J30" s="375">
        <v>3889160.63</v>
      </c>
      <c r="K30" s="375">
        <v>4110062</v>
      </c>
      <c r="L30" s="375">
        <v>4497872</v>
      </c>
      <c r="M30" s="375">
        <v>4314629.16</v>
      </c>
      <c r="N30" s="1219">
        <v>4400000</v>
      </c>
      <c r="O30" s="375"/>
      <c r="P30" s="372">
        <f>AVERAGE(J30:L30)</f>
        <v>4165698.2099999995</v>
      </c>
      <c r="Q30" s="416">
        <f>P30/P$54</f>
        <v>0.10635717491233188</v>
      </c>
      <c r="R30" s="372">
        <f>AVERAGE(K30,L30,M30)</f>
        <v>4307521.0533333337</v>
      </c>
      <c r="S30" s="416">
        <f>R30/R$54</f>
        <v>0.10460075317743968</v>
      </c>
      <c r="T30" s="372">
        <f>AVERAGE(L30,M30,N30)</f>
        <v>4404167.0533333337</v>
      </c>
      <c r="U30" s="416">
        <f>T30/T$54</f>
        <v>0.10426143029978202</v>
      </c>
      <c r="W30" s="359" t="s">
        <v>89</v>
      </c>
      <c r="X30" s="375">
        <f>560586+2692936+1436152+21081399+408527+1626889</f>
        <v>27806489</v>
      </c>
      <c r="Y30" s="375">
        <v>18999562</v>
      </c>
      <c r="Z30" s="375">
        <v>13198573</v>
      </c>
      <c r="AA30" s="375">
        <v>14377404</v>
      </c>
      <c r="AB30" s="375">
        <v>15669985</v>
      </c>
      <c r="AC30" s="375">
        <v>22580278</v>
      </c>
      <c r="AD30" s="375">
        <v>24301228</v>
      </c>
      <c r="AE30" s="375"/>
      <c r="AF30" s="375">
        <f t="shared" si="10"/>
        <v>14415320.666666666</v>
      </c>
      <c r="AG30" s="416">
        <f>AF30/AF$54</f>
        <v>9.8984533519148335E-2</v>
      </c>
      <c r="AH30" s="372">
        <f>AVERAGE(AA30:AC30)</f>
        <v>17542555.666666668</v>
      </c>
      <c r="AI30" s="416">
        <f>AH30/AH$54</f>
        <v>0.11206608903693697</v>
      </c>
      <c r="AJ30" s="372">
        <f>AVERAGE(AB30,AC30,AD30)</f>
        <v>20850497</v>
      </c>
      <c r="AK30" s="416">
        <f>AJ30/AJ$54</f>
        <v>0.12679428796409012</v>
      </c>
      <c r="AM30" s="375">
        <f>14451295+615000+1682607+1919998+840268+4153105</f>
        <v>23662273</v>
      </c>
      <c r="AN30" s="375">
        <v>17091769</v>
      </c>
      <c r="AO30" s="375">
        <v>23785270</v>
      </c>
      <c r="AP30" s="375">
        <f>12193733+930000+511827+2273164+693120+1161691</f>
        <v>17763535</v>
      </c>
      <c r="AQ30" s="375">
        <f>17626262+400000+528737+2110764+1542671+4847497+0</f>
        <v>27055931</v>
      </c>
      <c r="AR30" s="375">
        <f>1846047+2314208+1411643+1119196+370000+18230430</f>
        <v>25291524</v>
      </c>
      <c r="AS30" s="375">
        <v>21198195</v>
      </c>
      <c r="AT30" s="375"/>
      <c r="AU30" s="372">
        <f>AVERAGE(AO30:AQ30)</f>
        <v>22868245.333333332</v>
      </c>
      <c r="AV30" s="416">
        <f>AU30/AU$54</f>
        <v>0.10355840736727533</v>
      </c>
      <c r="AW30" s="372">
        <f>AVERAGE(AP30:AR30)</f>
        <v>23370330</v>
      </c>
      <c r="AX30" s="416">
        <f t="shared" si="22"/>
        <v>8.5543305733691774E-2</v>
      </c>
      <c r="AY30" s="372">
        <f>AVERAGE(AR30,AQ30,AS30)</f>
        <v>24515216.666666668</v>
      </c>
      <c r="AZ30" s="416">
        <f t="shared" si="22"/>
        <v>8.2838177930992726E-2</v>
      </c>
    </row>
    <row r="31" spans="1:52">
      <c r="A31" s="362"/>
      <c r="B31" s="363"/>
      <c r="C31" s="363"/>
      <c r="D31" s="363"/>
      <c r="E31" s="636"/>
      <c r="G31" s="363"/>
      <c r="H31" s="363"/>
      <c r="I31" s="363"/>
      <c r="J31" s="363"/>
      <c r="K31" s="363"/>
      <c r="L31" s="363"/>
      <c r="M31" s="1220"/>
      <c r="N31" s="1220"/>
      <c r="O31" s="1220"/>
      <c r="P31" s="363"/>
      <c r="Q31" s="315"/>
      <c r="R31" s="363"/>
      <c r="S31" s="315"/>
      <c r="T31" s="363"/>
      <c r="U31" s="315"/>
      <c r="W31" s="362"/>
      <c r="X31" s="363">
        <f t="shared" ref="X31:AD31" si="23">SUM(X12:X30)</f>
        <v>163634323</v>
      </c>
      <c r="Y31" s="363">
        <f t="shared" si="23"/>
        <v>141593512</v>
      </c>
      <c r="Z31" s="363">
        <f t="shared" si="23"/>
        <v>137101217</v>
      </c>
      <c r="AA31" s="363">
        <f t="shared" si="23"/>
        <v>143891930</v>
      </c>
      <c r="AB31" s="363">
        <f t="shared" si="23"/>
        <v>152752444</v>
      </c>
      <c r="AC31" s="363">
        <f t="shared" si="23"/>
        <v>158099077</v>
      </c>
      <c r="AD31" s="363">
        <f t="shared" si="23"/>
        <v>164415140</v>
      </c>
      <c r="AE31" s="363"/>
      <c r="AF31" s="363">
        <f>SUM(AF12:AF30)</f>
        <v>144581863.66666669</v>
      </c>
      <c r="AG31" s="315"/>
      <c r="AH31" s="363">
        <f>SUM(AH12:AH30)</f>
        <v>151581150.33333334</v>
      </c>
      <c r="AI31" s="315"/>
      <c r="AJ31" s="363">
        <f>SUM(AJ12:AJ30)</f>
        <v>158412499.99999997</v>
      </c>
      <c r="AK31" s="315"/>
      <c r="AM31" s="363">
        <f t="shared" ref="AM31:AR31" si="24">SUM(AM12:AM30)</f>
        <v>203091055</v>
      </c>
      <c r="AN31" s="363">
        <f t="shared" si="24"/>
        <v>178702506</v>
      </c>
      <c r="AO31" s="363">
        <f t="shared" si="24"/>
        <v>197701358</v>
      </c>
      <c r="AP31" s="363">
        <f t="shared" si="24"/>
        <v>210198329</v>
      </c>
      <c r="AQ31" s="363">
        <f t="shared" si="24"/>
        <v>235884664</v>
      </c>
      <c r="AR31" s="363">
        <f t="shared" si="24"/>
        <v>338617174</v>
      </c>
      <c r="AS31" s="363">
        <f>SUM(AS12:AS30)</f>
        <v>282015426</v>
      </c>
      <c r="AT31" s="363"/>
      <c r="AU31" s="363">
        <f>SUM(AU12:AU30)</f>
        <v>214229500.00000003</v>
      </c>
      <c r="AV31" s="315"/>
      <c r="AW31" s="363">
        <f>SUM(AW12:AW30)</f>
        <v>261911454.83333334</v>
      </c>
      <c r="AX31" s="315"/>
      <c r="AY31" s="363">
        <f>SUM(AY12:AY30)</f>
        <v>284959487.66666669</v>
      </c>
      <c r="AZ31" s="315"/>
    </row>
    <row r="32" spans="1:52">
      <c r="A32" s="172"/>
      <c r="B32" s="42"/>
      <c r="C32" s="42"/>
      <c r="D32" s="42"/>
      <c r="E32" s="42"/>
      <c r="G32" s="42"/>
      <c r="H32" s="42"/>
      <c r="I32" s="42"/>
      <c r="J32" s="42"/>
      <c r="K32" s="42"/>
      <c r="L32" s="42"/>
      <c r="M32" s="1221"/>
      <c r="N32" s="1221"/>
      <c r="O32" s="1221"/>
      <c r="P32" s="42"/>
      <c r="Q32" s="315"/>
      <c r="R32" s="42"/>
      <c r="S32" s="315"/>
      <c r="T32" s="42"/>
      <c r="U32" s="315"/>
      <c r="W32" s="172"/>
      <c r="X32" s="42"/>
      <c r="Y32" s="42"/>
      <c r="Z32" s="42"/>
      <c r="AA32" s="42"/>
      <c r="AB32" s="42"/>
      <c r="AC32" s="42"/>
      <c r="AD32" s="42"/>
      <c r="AE32" s="42"/>
      <c r="AF32" s="42"/>
      <c r="AG32" s="315"/>
      <c r="AH32" s="42"/>
      <c r="AI32" s="315"/>
      <c r="AJ32" s="42"/>
      <c r="AK32" s="315"/>
      <c r="AM32" s="42"/>
      <c r="AN32" s="42"/>
      <c r="AO32" s="42"/>
      <c r="AP32" s="42"/>
      <c r="AQ32" s="42"/>
      <c r="AR32" s="42"/>
      <c r="AS32" s="42"/>
      <c r="AT32" s="42"/>
      <c r="AU32" s="42"/>
      <c r="AV32" s="315"/>
      <c r="AW32" s="42"/>
      <c r="AX32" s="315"/>
      <c r="AY32" s="42"/>
      <c r="AZ32" s="315"/>
    </row>
    <row r="33" spans="1:52">
      <c r="A33" s="162"/>
      <c r="M33" s="1207"/>
      <c r="N33" s="1207"/>
      <c r="O33" s="1207"/>
      <c r="Q33" s="315"/>
      <c r="S33" s="315"/>
      <c r="U33" s="315"/>
      <c r="W33" s="162"/>
      <c r="AG33" s="315"/>
      <c r="AI33" s="315"/>
      <c r="AK33" s="315"/>
      <c r="AV33" s="315"/>
      <c r="AX33" s="315"/>
      <c r="AZ33" s="315"/>
    </row>
    <row r="34" spans="1:52">
      <c r="A34" s="49" t="s">
        <v>91</v>
      </c>
      <c r="B34" s="50"/>
      <c r="C34" s="50"/>
      <c r="D34" s="50"/>
      <c r="E34" s="50"/>
      <c r="G34" s="50"/>
      <c r="H34" s="50"/>
      <c r="I34" s="50"/>
      <c r="J34" s="50"/>
      <c r="K34" s="50"/>
      <c r="L34" s="50"/>
      <c r="M34" s="1216"/>
      <c r="N34" s="1216"/>
      <c r="O34" s="1216"/>
      <c r="P34" s="50"/>
      <c r="Q34" s="315"/>
      <c r="R34" s="50"/>
      <c r="S34" s="315"/>
      <c r="T34" s="50"/>
      <c r="U34" s="315"/>
      <c r="W34" s="49" t="s">
        <v>91</v>
      </c>
      <c r="X34" s="50"/>
      <c r="Y34" s="50"/>
      <c r="Z34" s="50"/>
      <c r="AA34" s="50"/>
      <c r="AB34" s="50"/>
      <c r="AC34" s="50"/>
      <c r="AD34" s="50"/>
      <c r="AE34" s="50"/>
      <c r="AF34" s="50"/>
      <c r="AG34" s="315"/>
      <c r="AH34" s="50"/>
      <c r="AI34" s="315"/>
      <c r="AJ34" s="50"/>
      <c r="AK34" s="315"/>
      <c r="AM34" s="50"/>
      <c r="AN34" s="50"/>
      <c r="AO34" s="50"/>
      <c r="AP34" s="50"/>
      <c r="AQ34" s="50"/>
      <c r="AR34" s="50"/>
      <c r="AS34" s="50"/>
      <c r="AT34" s="50"/>
      <c r="AU34" s="50"/>
      <c r="AV34" s="315"/>
      <c r="AW34" s="50"/>
      <c r="AX34" s="315"/>
      <c r="AY34" s="50"/>
      <c r="AZ34" s="315"/>
    </row>
    <row r="35" spans="1:52">
      <c r="A35" s="173" t="s">
        <v>92</v>
      </c>
      <c r="B35" s="372">
        <f t="shared" ref="B35:B52" si="25">B$3*(B$5*AG35+B$6*Q35+B$7*AV35)</f>
        <v>2592.7856421481447</v>
      </c>
      <c r="C35" s="372">
        <f t="shared" ref="C35:C52" si="26">B$3*(B$5*AI35+B$6*S35+B$7*AX35)</f>
        <v>11.271868266248505</v>
      </c>
      <c r="D35" s="372">
        <f t="shared" ref="D35:D52" si="27">B$3*(B$5*AK35+B$6*U35+B$7*AZ35)</f>
        <v>7.3258350761008657</v>
      </c>
      <c r="E35" s="372"/>
      <c r="G35" s="372">
        <v>40.32</v>
      </c>
      <c r="H35" s="372">
        <v>0</v>
      </c>
      <c r="I35" s="372">
        <v>0</v>
      </c>
      <c r="J35" s="372">
        <v>0</v>
      </c>
      <c r="K35" s="372"/>
      <c r="L35" s="372">
        <v>25518</v>
      </c>
      <c r="M35" s="372">
        <v>-25401.360000000001</v>
      </c>
      <c r="N35" s="1213">
        <v>0</v>
      </c>
      <c r="O35" s="372"/>
      <c r="P35" s="372">
        <f>AVERAGE(J35:L35)</f>
        <v>12759</v>
      </c>
      <c r="Q35" s="416">
        <f>P35/P$54</f>
        <v>3.2575840262476496E-4</v>
      </c>
      <c r="R35" s="372">
        <f>AVERAGE(K35,L35,M35)</f>
        <v>58.319999999999709</v>
      </c>
      <c r="S35" s="416">
        <f>R35/R$54</f>
        <v>1.4162010701230539E-6</v>
      </c>
      <c r="T35" s="372">
        <f>AVERAGE(L35,M35,N35)</f>
        <v>38.879999999999804</v>
      </c>
      <c r="U35" s="416">
        <f>T35/T$54</f>
        <v>9.2042022043360885E-7</v>
      </c>
      <c r="W35" s="173" t="s">
        <v>92</v>
      </c>
      <c r="X35" s="372">
        <v>0</v>
      </c>
      <c r="Y35" s="372">
        <v>0</v>
      </c>
      <c r="Z35" s="372"/>
      <c r="AA35" s="372"/>
      <c r="AB35" s="372">
        <v>249939</v>
      </c>
      <c r="AC35" s="372">
        <v>255180</v>
      </c>
      <c r="AD35" s="372">
        <v>520444</v>
      </c>
      <c r="AE35" s="372"/>
      <c r="AF35" s="372">
        <f>AVERAGE(X35:Z35)</f>
        <v>0</v>
      </c>
      <c r="AG35" s="416">
        <f>AF35/AF$54</f>
        <v>0</v>
      </c>
      <c r="AH35" s="372">
        <f>AVERAGE(AA35:AC35)</f>
        <v>252559.5</v>
      </c>
      <c r="AI35" s="416">
        <f>AH35/AH$54</f>
        <v>1.6134111786177572E-3</v>
      </c>
      <c r="AJ35" s="372">
        <f>AVERAGE(AB35,AC35,AD35)</f>
        <v>341854.33333333331</v>
      </c>
      <c r="AK35" s="416">
        <f>AJ35/AJ$54</f>
        <v>2.0788558077267276E-3</v>
      </c>
      <c r="AM35" s="372"/>
      <c r="AN35" s="372"/>
      <c r="AO35" s="372"/>
      <c r="AP35" s="372"/>
      <c r="AQ35" s="372">
        <f>5000+272693</f>
        <v>277693</v>
      </c>
      <c r="AR35" s="372">
        <f>259745+15000</f>
        <v>274745</v>
      </c>
      <c r="AS35" s="372">
        <v>263089</v>
      </c>
      <c r="AT35" s="372"/>
      <c r="AU35" s="372">
        <f>AVERAGE(AO35:AQ35)</f>
        <v>277693</v>
      </c>
      <c r="AV35" s="416">
        <f>AU35/AU$54</f>
        <v>1.2575273877757122E-3</v>
      </c>
      <c r="AW35" s="372">
        <f>AVERAGE(AP35:AR35)</f>
        <v>276219</v>
      </c>
      <c r="AX35" s="416">
        <f>AW35/AW$54</f>
        <v>1.0110548873916033E-3</v>
      </c>
      <c r="AY35" s="372">
        <f>AVERAGE(AR35,AQ35,AS35)</f>
        <v>271842.33333333331</v>
      </c>
      <c r="AZ35" s="416">
        <f>AY35/AY$54</f>
        <v>9.1856922514830857E-4</v>
      </c>
    </row>
    <row r="36" spans="1:52">
      <c r="A36" s="172" t="s">
        <v>93</v>
      </c>
      <c r="B36" s="374">
        <f t="shared" si="25"/>
        <v>0</v>
      </c>
      <c r="C36" s="374">
        <f t="shared" si="26"/>
        <v>0</v>
      </c>
      <c r="D36" s="374">
        <f t="shared" si="27"/>
        <v>0</v>
      </c>
      <c r="E36" s="374"/>
      <c r="G36" s="374"/>
      <c r="H36" s="374"/>
      <c r="I36" s="374"/>
      <c r="J36" s="374"/>
      <c r="K36" s="374"/>
      <c r="L36" s="374"/>
      <c r="M36" s="374"/>
      <c r="N36" s="1215"/>
      <c r="O36" s="374"/>
      <c r="P36" s="374"/>
      <c r="Q36" s="416"/>
      <c r="R36" s="374"/>
      <c r="S36" s="416"/>
      <c r="T36" s="374"/>
      <c r="U36" s="416"/>
      <c r="W36" s="172" t="s">
        <v>93</v>
      </c>
      <c r="X36" s="374">
        <v>0</v>
      </c>
      <c r="Y36" s="374"/>
      <c r="Z36" s="374"/>
      <c r="AA36" s="374"/>
      <c r="AB36" s="374"/>
      <c r="AC36" s="374"/>
      <c r="AD36" s="374"/>
      <c r="AE36" s="374"/>
      <c r="AF36" s="374"/>
      <c r="AG36" s="416"/>
      <c r="AH36" s="374"/>
      <c r="AI36" s="416"/>
      <c r="AJ36" s="374"/>
      <c r="AK36" s="416"/>
      <c r="AM36" s="374"/>
      <c r="AN36" s="374"/>
      <c r="AO36" s="374"/>
      <c r="AP36" s="374"/>
      <c r="AQ36" s="374"/>
      <c r="AR36" s="374"/>
      <c r="AS36" s="374"/>
      <c r="AT36" s="374"/>
      <c r="AU36" s="374"/>
      <c r="AV36" s="416"/>
      <c r="AW36" s="374"/>
      <c r="AX36" s="416"/>
      <c r="AY36" s="374"/>
      <c r="AZ36" s="416"/>
    </row>
    <row r="37" spans="1:52">
      <c r="A37" s="49" t="s">
        <v>94</v>
      </c>
      <c r="B37" s="374">
        <f t="shared" si="25"/>
        <v>0</v>
      </c>
      <c r="C37" s="374">
        <f t="shared" si="26"/>
        <v>0</v>
      </c>
      <c r="D37" s="374">
        <f t="shared" si="27"/>
        <v>0</v>
      </c>
      <c r="E37" s="374"/>
      <c r="G37" s="374"/>
      <c r="H37" s="374"/>
      <c r="I37" s="374"/>
      <c r="J37" s="374"/>
      <c r="K37" s="374"/>
      <c r="L37" s="374"/>
      <c r="M37" s="374">
        <v>253824.38</v>
      </c>
      <c r="N37" s="1215">
        <v>214000</v>
      </c>
      <c r="O37" s="374"/>
      <c r="P37" s="374"/>
      <c r="Q37" s="416"/>
      <c r="R37" s="374"/>
      <c r="S37" s="416"/>
      <c r="T37" s="374"/>
      <c r="U37" s="416"/>
      <c r="W37" s="49" t="s">
        <v>94</v>
      </c>
      <c r="X37" s="374">
        <v>0</v>
      </c>
      <c r="Y37" s="374"/>
      <c r="Z37" s="374"/>
      <c r="AA37" s="374"/>
      <c r="AB37" s="374">
        <f>3178207-AB39-AB40</f>
        <v>62372</v>
      </c>
      <c r="AC37" s="374">
        <f>4881482-AC39-AC40</f>
        <v>152918</v>
      </c>
      <c r="AD37" s="374">
        <f>4987119-AD39-AD40+15000</f>
        <v>143539</v>
      </c>
      <c r="AE37" s="374"/>
      <c r="AF37" s="374"/>
      <c r="AG37" s="416"/>
      <c r="AH37" s="372">
        <f>AVERAGE(AA37:AC37)</f>
        <v>107645</v>
      </c>
      <c r="AI37" s="416">
        <f>AH37/AH$54</f>
        <v>6.876622986753952E-4</v>
      </c>
      <c r="AJ37" s="372">
        <f>AVERAGE(AB37,AC37,AD37)</f>
        <v>119609.66666666667</v>
      </c>
      <c r="AK37" s="416">
        <f>AJ37/AJ$54</f>
        <v>7.2736024079532316E-4</v>
      </c>
      <c r="AM37" s="374"/>
      <c r="AN37" s="374"/>
      <c r="AO37" s="374"/>
      <c r="AP37" s="374"/>
      <c r="AQ37" s="374">
        <f>1471788</f>
        <v>1471788</v>
      </c>
      <c r="AR37" s="374">
        <f>1050000+1505252+85000</f>
        <v>2640252</v>
      </c>
      <c r="AS37" s="374">
        <v>55000</v>
      </c>
      <c r="AT37" s="374"/>
      <c r="AU37" s="372">
        <f>AVERAGE(AO37:AQ37)</f>
        <v>1471788</v>
      </c>
      <c r="AV37" s="416">
        <f>AU37/AU$54</f>
        <v>6.6649635352696683E-3</v>
      </c>
      <c r="AW37" s="372">
        <f>AVERAGE(AP37:AR37)</f>
        <v>2056020</v>
      </c>
      <c r="AX37" s="416">
        <f>AW37/AW$54</f>
        <v>7.5257280258594957E-3</v>
      </c>
      <c r="AY37" s="372">
        <f>AVERAGE(AR37,AQ37,AS37)</f>
        <v>1389013.3333333333</v>
      </c>
      <c r="AZ37" s="416">
        <f>AY37/AY$54</f>
        <v>4.6935474901039541E-3</v>
      </c>
    </row>
    <row r="38" spans="1:52">
      <c r="A38" s="173" t="s">
        <v>95</v>
      </c>
      <c r="B38" s="372">
        <f t="shared" si="25"/>
        <v>0</v>
      </c>
      <c r="C38" s="372">
        <f t="shared" si="26"/>
        <v>0</v>
      </c>
      <c r="D38" s="372">
        <f t="shared" si="27"/>
        <v>0</v>
      </c>
      <c r="E38" s="372"/>
      <c r="G38" s="372"/>
      <c r="H38" s="372"/>
      <c r="I38" s="372"/>
      <c r="J38" s="372"/>
      <c r="K38" s="372"/>
      <c r="L38" s="372"/>
      <c r="M38" s="372"/>
      <c r="N38" s="1213"/>
      <c r="O38" s="372"/>
      <c r="P38" s="372"/>
      <c r="Q38" s="416"/>
      <c r="R38" s="372"/>
      <c r="S38" s="416"/>
      <c r="T38" s="372"/>
      <c r="U38" s="416"/>
      <c r="W38" s="173" t="s">
        <v>95</v>
      </c>
      <c r="X38" s="372">
        <v>0</v>
      </c>
      <c r="Y38" s="372"/>
      <c r="Z38" s="372"/>
      <c r="AA38" s="372"/>
      <c r="AB38" s="372"/>
      <c r="AC38" s="372"/>
      <c r="AD38" s="372"/>
      <c r="AE38" s="372"/>
      <c r="AF38" s="372"/>
      <c r="AG38" s="416"/>
      <c r="AH38" s="372"/>
      <c r="AI38" s="416"/>
      <c r="AJ38" s="372"/>
      <c r="AK38" s="416"/>
      <c r="AM38" s="372"/>
      <c r="AN38" s="372"/>
      <c r="AO38" s="372"/>
      <c r="AP38" s="372"/>
      <c r="AQ38" s="372"/>
      <c r="AR38" s="372"/>
      <c r="AS38" s="372"/>
      <c r="AT38" s="372"/>
      <c r="AU38" s="372"/>
      <c r="AV38" s="416"/>
      <c r="AW38" s="372"/>
      <c r="AX38" s="416"/>
      <c r="AY38" s="372"/>
      <c r="AZ38" s="416"/>
    </row>
    <row r="39" spans="1:52">
      <c r="A39" s="172" t="s">
        <v>96</v>
      </c>
      <c r="B39" s="374">
        <f t="shared" si="25"/>
        <v>35132.754836587643</v>
      </c>
      <c r="C39" s="374">
        <f t="shared" si="26"/>
        <v>42173.061172217123</v>
      </c>
      <c r="D39" s="374">
        <f t="shared" si="27"/>
        <v>44542.69768917637</v>
      </c>
      <c r="E39" s="374"/>
      <c r="G39" s="374">
        <v>0</v>
      </c>
      <c r="H39" s="374">
        <v>0</v>
      </c>
      <c r="I39" s="374">
        <v>0</v>
      </c>
      <c r="J39" s="374">
        <v>82258.87</v>
      </c>
      <c r="K39" s="374">
        <v>200003</v>
      </c>
      <c r="L39" s="374">
        <f>249899-L40</f>
        <v>236399</v>
      </c>
      <c r="M39" s="374"/>
      <c r="N39" s="1215"/>
      <c r="O39" s="374"/>
      <c r="P39" s="372">
        <f>AVERAGE(J39:L39)</f>
        <v>172886.95666666667</v>
      </c>
      <c r="Q39" s="416">
        <f>P39/P$54</f>
        <v>4.4140903549173358E-3</v>
      </c>
      <c r="R39" s="372">
        <f>AVERAGE(K39,L39,M39)</f>
        <v>218201</v>
      </c>
      <c r="S39" s="416">
        <f>R39/R$54</f>
        <v>5.2986366546968798E-3</v>
      </c>
      <c r="T39" s="372">
        <f>AVERAGE(L39,M39,N39)</f>
        <v>236399</v>
      </c>
      <c r="U39" s="416">
        <f>T39/T$54</f>
        <v>5.5963585311287495E-3</v>
      </c>
      <c r="W39" s="172" t="s">
        <v>96</v>
      </c>
      <c r="X39" s="374">
        <v>57361</v>
      </c>
      <c r="Y39" s="374"/>
      <c r="Z39" s="374"/>
      <c r="AA39" s="374">
        <f>1500776-AA40</f>
        <v>1418128</v>
      </c>
      <c r="AB39" s="374">
        <f>2671591+276625</f>
        <v>2948216</v>
      </c>
      <c r="AC39" s="374">
        <f>3092477+250031+445617+89553+104336</f>
        <v>3982014</v>
      </c>
      <c r="AD39" s="374">
        <f>3265652+593423+431582</f>
        <v>4290657</v>
      </c>
      <c r="AE39" s="374"/>
      <c r="AF39" s="374">
        <f>AVERAGE(X39:Z39)</f>
        <v>57361</v>
      </c>
      <c r="AG39" s="416">
        <f>AF39/AF$54</f>
        <v>3.9387620702195512E-4</v>
      </c>
      <c r="AH39" s="372">
        <f>AVERAGE(AA39:AC39)</f>
        <v>2782786</v>
      </c>
      <c r="AI39" s="416">
        <f>AH39/AH$54</f>
        <v>1.7777110107127209E-2</v>
      </c>
      <c r="AJ39" s="372">
        <f>AVERAGE(AB39,AC39,AD39)</f>
        <v>3740295.6666666665</v>
      </c>
      <c r="AK39" s="416">
        <f>AJ39/AJ$54</f>
        <v>2.2745171294006647E-2</v>
      </c>
      <c r="AM39" s="374">
        <v>510732</v>
      </c>
      <c r="AN39" s="374">
        <v>134384</v>
      </c>
      <c r="AO39" s="374">
        <v>0</v>
      </c>
      <c r="AP39" s="374">
        <f>4052764+218472</f>
        <v>4271236</v>
      </c>
      <c r="AQ39" s="374">
        <v>4316935</v>
      </c>
      <c r="AR39" s="374">
        <v>2891902</v>
      </c>
      <c r="AS39" s="374">
        <v>2600000</v>
      </c>
      <c r="AT39" s="374"/>
      <c r="AU39" s="374">
        <f>AVERAGE(AL39:AN39)</f>
        <v>322558</v>
      </c>
      <c r="AV39" s="416">
        <f t="shared" ref="AV39:AV44" si="28">AU39/AU$54</f>
        <v>1.4606976738562303E-3</v>
      </c>
      <c r="AW39" s="372">
        <f>AVERAGE(AP39:AR39)</f>
        <v>3826691</v>
      </c>
      <c r="AX39" s="416">
        <f>AW39/AW$54</f>
        <v>1.4006982278870974E-2</v>
      </c>
      <c r="AY39" s="372">
        <f>AVERAGE(AP39,AQ39,AR39)</f>
        <v>3826691</v>
      </c>
      <c r="AZ39" s="416">
        <f>AY39/AY$54</f>
        <v>1.2930585695208153E-2</v>
      </c>
    </row>
    <row r="40" spans="1:52">
      <c r="A40" s="358" t="s">
        <v>474</v>
      </c>
      <c r="B40" s="374">
        <f t="shared" si="25"/>
        <v>6347.4870159488437</v>
      </c>
      <c r="C40" s="374">
        <f t="shared" si="26"/>
        <v>2984.8288567403742</v>
      </c>
      <c r="D40" s="374">
        <f t="shared" si="27"/>
        <v>847.89757825241929</v>
      </c>
      <c r="E40" s="374"/>
      <c r="G40" s="374">
        <v>49871.9</v>
      </c>
      <c r="H40" s="374">
        <v>55860.93</v>
      </c>
      <c r="I40" s="374">
        <v>47761.5</v>
      </c>
      <c r="J40" s="374">
        <v>47377.23</v>
      </c>
      <c r="K40" s="374">
        <v>32830</v>
      </c>
      <c r="L40" s="1095">
        <v>13500</v>
      </c>
      <c r="M40" s="374">
        <v>0</v>
      </c>
      <c r="N40" s="1215">
        <v>0</v>
      </c>
      <c r="O40" s="374"/>
      <c r="P40" s="372">
        <f>AVERAGE(J40:L40)</f>
        <v>31235.743333333336</v>
      </c>
      <c r="Q40" s="416">
        <f>P40/P$54</f>
        <v>7.9750026279989169E-4</v>
      </c>
      <c r="R40" s="372">
        <f>AVERAGE(K40,L40,M40)</f>
        <v>15443.333333333334</v>
      </c>
      <c r="S40" s="416">
        <f>R40/R$54</f>
        <v>3.7501483526978401E-4</v>
      </c>
      <c r="T40" s="372">
        <f>AVERAGE(L40,M40,N40)</f>
        <v>4500</v>
      </c>
      <c r="U40" s="416">
        <f>T40/T$54</f>
        <v>1.0653011810574231E-4</v>
      </c>
      <c r="W40" s="358" t="s">
        <v>474</v>
      </c>
      <c r="X40" s="374">
        <v>0</v>
      </c>
      <c r="Y40" s="374"/>
      <c r="Z40" s="374"/>
      <c r="AA40" s="374">
        <v>82648</v>
      </c>
      <c r="AB40" s="374">
        <f>115889+51730</f>
        <v>167619</v>
      </c>
      <c r="AC40" s="374">
        <f>545117+201433</f>
        <v>746550</v>
      </c>
      <c r="AD40" s="374">
        <f>567923+0</f>
        <v>567923</v>
      </c>
      <c r="AE40" s="374"/>
      <c r="AF40" s="374">
        <f>AVERAGE(X40:Z40)</f>
        <v>0</v>
      </c>
      <c r="AG40" s="416">
        <f>AF40/AF$54</f>
        <v>0</v>
      </c>
      <c r="AH40" s="372">
        <f>AVERAGE(AA40:AC40)</f>
        <v>332272.33333333331</v>
      </c>
      <c r="AI40" s="416">
        <f>AH40/AH$54</f>
        <v>2.1226360400040606E-3</v>
      </c>
      <c r="AJ40" s="372">
        <f>AVERAGE(AB40,AC40,AD40)</f>
        <v>494030.66666666669</v>
      </c>
      <c r="AK40" s="416">
        <f>AJ40/AJ$54</f>
        <v>3.0042577216468627E-3</v>
      </c>
      <c r="AM40" s="374">
        <v>871263</v>
      </c>
      <c r="AN40" s="374">
        <v>856358</v>
      </c>
      <c r="AO40" s="374">
        <v>833497</v>
      </c>
      <c r="AP40" s="374">
        <f>918943+284062</f>
        <v>1203005</v>
      </c>
      <c r="AQ40" s="374">
        <v>955961</v>
      </c>
      <c r="AR40" s="374">
        <v>2329624</v>
      </c>
      <c r="AS40" s="374">
        <v>2390602</v>
      </c>
      <c r="AT40" s="374"/>
      <c r="AU40" s="374">
        <f>AVERAGE(AL40:AN40)</f>
        <v>863810.5</v>
      </c>
      <c r="AV40" s="416">
        <f t="shared" si="28"/>
        <v>3.9117491675995861E-3</v>
      </c>
      <c r="AW40" s="372">
        <f t="shared" ref="AW40:AW46" si="29">AVERAGE(AP40:AR40)</f>
        <v>1496196.6666666667</v>
      </c>
      <c r="AX40" s="416">
        <f>AW40/AW$54</f>
        <v>5.4765854352247997E-3</v>
      </c>
      <c r="AY40" s="372">
        <f>AVERAGE(AP40,AQ40,AR40)</f>
        <v>1496196.6666666667</v>
      </c>
      <c r="AZ40" s="416">
        <f>AY40/AY$54</f>
        <v>5.0557254858618374E-3</v>
      </c>
    </row>
    <row r="41" spans="1:52">
      <c r="A41" s="172" t="s">
        <v>97</v>
      </c>
      <c r="B41" s="374">
        <f t="shared" si="25"/>
        <v>4686.2786812115655</v>
      </c>
      <c r="C41" s="374">
        <f t="shared" si="26"/>
        <v>4500.0894989036324</v>
      </c>
      <c r="D41" s="374">
        <f t="shared" si="27"/>
        <v>4934.5384274804937</v>
      </c>
      <c r="E41" s="374"/>
      <c r="G41" s="374"/>
      <c r="H41" s="374"/>
      <c r="I41" s="374"/>
      <c r="J41" s="374"/>
      <c r="K41" s="374"/>
      <c r="L41" s="374">
        <v>23061</v>
      </c>
      <c r="M41" s="374">
        <v>23505.41</v>
      </c>
      <c r="N41" s="1215">
        <v>32000</v>
      </c>
      <c r="O41" s="374"/>
      <c r="P41" s="372">
        <f>AVERAGE(J41:L41)</f>
        <v>23061</v>
      </c>
      <c r="Q41" s="416">
        <f>P41/P$54</f>
        <v>5.8878552574102242E-4</v>
      </c>
      <c r="R41" s="372">
        <f>AVERAGE(K41,L41,M41)</f>
        <v>23283.205000000002</v>
      </c>
      <c r="S41" s="416">
        <f>R41/R$54</f>
        <v>5.6539265838296648E-4</v>
      </c>
      <c r="T41" s="372">
        <f>AVERAGE(L41,M41,N41)</f>
        <v>26188.803333333333</v>
      </c>
      <c r="U41" s="416">
        <f>T41/T$54</f>
        <v>6.1997695825512396E-4</v>
      </c>
      <c r="W41" s="172" t="s">
        <v>97</v>
      </c>
      <c r="X41" s="374">
        <v>646980</v>
      </c>
      <c r="Y41" s="374">
        <v>685433</v>
      </c>
      <c r="Z41" s="374">
        <v>709393</v>
      </c>
      <c r="AA41" s="374">
        <v>648288</v>
      </c>
      <c r="AB41" s="374">
        <v>408798</v>
      </c>
      <c r="AC41" s="374">
        <v>419736</v>
      </c>
      <c r="AD41" s="374">
        <v>422270</v>
      </c>
      <c r="AE41" s="374"/>
      <c r="AF41" s="374"/>
      <c r="AG41" s="416"/>
      <c r="AH41" s="372">
        <f>AVERAGE(AA41:AC41)</f>
        <v>492274</v>
      </c>
      <c r="AI41" s="416">
        <f>AH41/AH$54</f>
        <v>3.1447653901075898E-3</v>
      </c>
      <c r="AJ41" s="372">
        <f>AVERAGE(AB41,AC41,AD41)</f>
        <v>416934.66666666669</v>
      </c>
      <c r="AK41" s="416">
        <f>AJ41/AJ$54</f>
        <v>2.5354280134207477E-3</v>
      </c>
      <c r="AM41" s="374"/>
      <c r="AN41" s="374"/>
      <c r="AO41" s="374"/>
      <c r="AP41" s="374"/>
      <c r="AQ41" s="374">
        <f>3000-89168+793598</f>
        <v>707430</v>
      </c>
      <c r="AR41" s="374">
        <v>-186942</v>
      </c>
      <c r="AS41" s="374">
        <v>907234</v>
      </c>
      <c r="AT41" s="374"/>
      <c r="AU41" s="372">
        <f>AVERAGE(AO41:AQ41)</f>
        <v>707430</v>
      </c>
      <c r="AV41" s="416">
        <f t="shared" si="28"/>
        <v>3.2035830933231017E-3</v>
      </c>
      <c r="AW41" s="372">
        <f t="shared" si="29"/>
        <v>260244</v>
      </c>
      <c r="AX41" s="416">
        <f>AW41/AW$54</f>
        <v>9.5258098868774557E-4</v>
      </c>
      <c r="AY41" s="372">
        <f>AVERAGE(AR41,AQ41,AS41)</f>
        <v>475907.33333333331</v>
      </c>
      <c r="AZ41" s="416">
        <f>AY41/AY$54</f>
        <v>1.6081153551840632E-3</v>
      </c>
    </row>
    <row r="42" spans="1:52">
      <c r="A42" s="173" t="s">
        <v>98</v>
      </c>
      <c r="B42" s="372">
        <f>B$3*(B$5*AG42+B$6*Q42+B$7*AV42)</f>
        <v>9367.8502883506371</v>
      </c>
      <c r="C42" s="372">
        <f>B$3*(B$5*AI42+B$6*S42+B$7*AX42)</f>
        <v>5406.9230907718238</v>
      </c>
      <c r="D42" s="372">
        <f t="shared" si="27"/>
        <v>602.97011536474429</v>
      </c>
      <c r="E42" s="372"/>
      <c r="G42" s="372">
        <v>10428.709999999999</v>
      </c>
      <c r="H42" s="372">
        <v>0</v>
      </c>
      <c r="I42" s="372">
        <v>32573.22</v>
      </c>
      <c r="J42" s="372">
        <v>54464.51</v>
      </c>
      <c r="K42" s="372">
        <v>74325</v>
      </c>
      <c r="L42" s="372">
        <v>9507</v>
      </c>
      <c r="M42" s="372">
        <v>93.33</v>
      </c>
      <c r="N42" s="1213">
        <v>0</v>
      </c>
      <c r="O42" s="372"/>
      <c r="P42" s="372">
        <f>AVERAGE(J42:L42)</f>
        <v>46098.83666666667</v>
      </c>
      <c r="Q42" s="416">
        <f>P42/P$54</f>
        <v>1.1769796532168099E-3</v>
      </c>
      <c r="R42" s="372">
        <f>AVERAGE(K42,L42,M42)</f>
        <v>27975.11</v>
      </c>
      <c r="S42" s="416">
        <f>R42/R$54</f>
        <v>6.7932751575463547E-4</v>
      </c>
      <c r="T42" s="372">
        <f>AVERAGE(L42,M42,N42)</f>
        <v>3200.11</v>
      </c>
      <c r="U42" s="416">
        <f>T42/T$54</f>
        <v>7.5757354722525997E-5</v>
      </c>
      <c r="W42" s="173" t="s">
        <v>98</v>
      </c>
      <c r="X42" s="372">
        <v>24691</v>
      </c>
      <c r="Y42" s="372"/>
      <c r="Z42" s="372"/>
      <c r="AA42" s="372"/>
      <c r="AB42" s="372"/>
      <c r="AC42" s="372"/>
      <c r="AD42" s="372"/>
      <c r="AE42" s="372"/>
      <c r="AF42" s="372">
        <f>AVERAGE(X42:Z42)</f>
        <v>24691</v>
      </c>
      <c r="AG42" s="416">
        <f>AF42/AF$54</f>
        <v>1.6954372182456887E-4</v>
      </c>
      <c r="AH42" s="372"/>
      <c r="AI42" s="416">
        <f>AH42/AH$54</f>
        <v>0</v>
      </c>
      <c r="AJ42" s="372"/>
      <c r="AK42" s="416">
        <f>AJ42/AJ$54</f>
        <v>0</v>
      </c>
      <c r="AM42" s="372">
        <v>36300</v>
      </c>
      <c r="AN42" s="372">
        <v>0</v>
      </c>
      <c r="AO42" s="372">
        <v>0</v>
      </c>
      <c r="AP42" s="372">
        <v>0</v>
      </c>
      <c r="AQ42" s="372"/>
      <c r="AR42" s="372"/>
      <c r="AS42" s="372"/>
      <c r="AT42" s="372"/>
      <c r="AU42" s="372">
        <f>AVERAGE(AL42:AN42)</f>
        <v>18150</v>
      </c>
      <c r="AV42" s="416">
        <f t="shared" si="28"/>
        <v>8.219192449262018E-5</v>
      </c>
      <c r="AW42" s="372">
        <f t="shared" si="29"/>
        <v>0</v>
      </c>
      <c r="AX42" s="416">
        <f>AW42/AW$54</f>
        <v>0</v>
      </c>
      <c r="AY42" s="372"/>
      <c r="AZ42" s="416">
        <f>AY42/AY$54</f>
        <v>0</v>
      </c>
    </row>
    <row r="43" spans="1:52">
      <c r="A43" s="172" t="s">
        <v>475</v>
      </c>
      <c r="B43" s="374">
        <f t="shared" si="25"/>
        <v>0</v>
      </c>
      <c r="C43" s="374">
        <f t="shared" si="26"/>
        <v>0</v>
      </c>
      <c r="D43" s="374">
        <f t="shared" si="27"/>
        <v>0</v>
      </c>
      <c r="E43" s="374"/>
      <c r="G43" s="374"/>
      <c r="H43" s="374"/>
      <c r="I43" s="374"/>
      <c r="J43" s="374"/>
      <c r="K43" s="374"/>
      <c r="L43" s="374"/>
      <c r="M43" s="374"/>
      <c r="N43" s="1215"/>
      <c r="O43" s="374"/>
      <c r="P43" s="374"/>
      <c r="Q43" s="416"/>
      <c r="R43" s="374"/>
      <c r="S43" s="416"/>
      <c r="T43" s="374"/>
      <c r="U43" s="416"/>
      <c r="W43" s="172" t="s">
        <v>475</v>
      </c>
      <c r="X43" s="374">
        <f>313828</f>
        <v>313828</v>
      </c>
      <c r="Y43" s="374">
        <v>50633</v>
      </c>
      <c r="Z43" s="374">
        <v>813</v>
      </c>
      <c r="AA43" s="374"/>
      <c r="AB43" s="374"/>
      <c r="AC43" s="374"/>
      <c r="AD43" s="374"/>
      <c r="AE43" s="374"/>
      <c r="AF43" s="374"/>
      <c r="AG43" s="416"/>
      <c r="AH43" s="374"/>
      <c r="AI43" s="416"/>
      <c r="AJ43" s="374"/>
      <c r="AK43" s="416"/>
      <c r="AM43" s="374">
        <v>440000</v>
      </c>
      <c r="AN43" s="374">
        <v>575500</v>
      </c>
      <c r="AO43" s="374">
        <v>702000</v>
      </c>
      <c r="AP43" s="374">
        <v>1131500</v>
      </c>
      <c r="AQ43" s="374">
        <v>1332160</v>
      </c>
      <c r="AR43" s="374">
        <v>1865580</v>
      </c>
      <c r="AS43" s="374">
        <v>1766500</v>
      </c>
      <c r="AT43" s="374"/>
      <c r="AU43" s="372">
        <f>AVERAGE(AO43:AQ43)</f>
        <v>1055220</v>
      </c>
      <c r="AV43" s="416">
        <f t="shared" si="28"/>
        <v>4.7785433919064835E-3</v>
      </c>
      <c r="AW43" s="372">
        <f t="shared" si="29"/>
        <v>1443080</v>
      </c>
      <c r="AX43" s="416">
        <f t="shared" ref="AX43:AZ44" si="30">AW43/AW$54</f>
        <v>5.2821604846048781E-3</v>
      </c>
      <c r="AY43" s="372">
        <f>AVERAGE(AR43,AQ43,AS43)</f>
        <v>1654746.6666666667</v>
      </c>
      <c r="AZ43" s="416">
        <f t="shared" si="30"/>
        <v>5.591474090067208E-3</v>
      </c>
    </row>
    <row r="44" spans="1:52">
      <c r="A44" s="49" t="s">
        <v>85</v>
      </c>
      <c r="B44" s="373">
        <f t="shared" si="25"/>
        <v>18416.397165478247</v>
      </c>
      <c r="C44" s="373">
        <f>B$3*(B$5*AI44+B$6*S44+B$7*AX44)</f>
        <v>14784.275448291542</v>
      </c>
      <c r="D44" s="373">
        <f t="shared" si="27"/>
        <v>11213.601234313732</v>
      </c>
      <c r="E44" s="373"/>
      <c r="G44" s="373">
        <v>59551.97</v>
      </c>
      <c r="H44" s="373">
        <v>87662.05</v>
      </c>
      <c r="I44" s="373">
        <v>82488.87</v>
      </c>
      <c r="J44" s="373">
        <v>92924.18</v>
      </c>
      <c r="K44" s="373">
        <v>91939</v>
      </c>
      <c r="L44" s="373">
        <v>87016</v>
      </c>
      <c r="M44" s="373">
        <v>50523.98</v>
      </c>
      <c r="N44" s="1214">
        <v>41000</v>
      </c>
      <c r="O44" s="373"/>
      <c r="P44" s="372">
        <f>AVERAGE(J44:L44)</f>
        <v>90626.393333333326</v>
      </c>
      <c r="Q44" s="416">
        <f>P44/P$54</f>
        <v>2.3138419255357245E-3</v>
      </c>
      <c r="R44" s="372">
        <f>AVERAGE(K44,L44,M44)</f>
        <v>76492.993333333332</v>
      </c>
      <c r="S44" s="416">
        <f>R44/R$54</f>
        <v>1.8575010119270033E-3</v>
      </c>
      <c r="T44" s="372">
        <f>AVERAGE(L44,M44,N44)</f>
        <v>59513.326666666668</v>
      </c>
      <c r="U44" s="416">
        <f>T44/T$54</f>
        <v>1.4088803819256939E-3</v>
      </c>
      <c r="W44" s="49" t="s">
        <v>85</v>
      </c>
      <c r="X44" s="373">
        <v>991530</v>
      </c>
      <c r="Y44" s="373">
        <v>946161</v>
      </c>
      <c r="Z44" s="373">
        <v>737698</v>
      </c>
      <c r="AA44" s="373">
        <v>782195</v>
      </c>
      <c r="AB44" s="373">
        <v>809779</v>
      </c>
      <c r="AC44" s="373">
        <v>831855</v>
      </c>
      <c r="AD44" s="373">
        <v>606629</v>
      </c>
      <c r="AE44" s="373"/>
      <c r="AF44" s="373">
        <f>AVERAGE(X44:Z44)</f>
        <v>891796.33333333337</v>
      </c>
      <c r="AG44" s="416">
        <f>AF44/AF$54</f>
        <v>6.1236268058335892E-3</v>
      </c>
      <c r="AH44" s="372">
        <f>AVERAGE(AA44:AC44)</f>
        <v>807943</v>
      </c>
      <c r="AI44" s="416">
        <f>AH44/AH$54</f>
        <v>5.1613353205322565E-3</v>
      </c>
      <c r="AJ44" s="372">
        <f>AVERAGE(AB44,AC44,AD44)</f>
        <v>749421</v>
      </c>
      <c r="AK44" s="416">
        <f>AJ44/AJ$54</f>
        <v>4.5573159277851449E-3</v>
      </c>
      <c r="AM44" s="373">
        <v>1820247</v>
      </c>
      <c r="AN44" s="373">
        <v>920510</v>
      </c>
      <c r="AO44" s="373">
        <f>125000+881629</f>
        <v>1006629</v>
      </c>
      <c r="AP44" s="373">
        <v>1120420</v>
      </c>
      <c r="AQ44" s="373">
        <f>15000+1181396</f>
        <v>1196396</v>
      </c>
      <c r="AR44" s="373">
        <f>885119-11677</f>
        <v>873442</v>
      </c>
      <c r="AS44" s="373">
        <v>1060367</v>
      </c>
      <c r="AT44" s="373"/>
      <c r="AU44" s="372">
        <f>AVERAGE(AO44:AQ44)</f>
        <v>1107815</v>
      </c>
      <c r="AV44" s="416">
        <f t="shared" si="28"/>
        <v>5.0167188337075499E-3</v>
      </c>
      <c r="AW44" s="372">
        <f t="shared" si="29"/>
        <v>1063419.3333333333</v>
      </c>
      <c r="AX44" s="416">
        <f t="shared" si="30"/>
        <v>3.8924741394089002E-3</v>
      </c>
      <c r="AY44" s="372">
        <f>AVERAGE(AR44,AQ44,AS44)</f>
        <v>1043401.6666666666</v>
      </c>
      <c r="AZ44" s="416">
        <f t="shared" si="30"/>
        <v>3.5257078936753307E-3</v>
      </c>
    </row>
    <row r="45" spans="1:52">
      <c r="A45" s="359" t="s">
        <v>99</v>
      </c>
      <c r="B45" s="372">
        <f t="shared" si="25"/>
        <v>0</v>
      </c>
      <c r="C45" s="372">
        <f t="shared" si="26"/>
        <v>0</v>
      </c>
      <c r="D45" s="372">
        <f t="shared" si="27"/>
        <v>0</v>
      </c>
      <c r="E45" s="372"/>
      <c r="G45" s="372"/>
      <c r="H45" s="372"/>
      <c r="I45" s="372"/>
      <c r="J45" s="372"/>
      <c r="K45" s="372"/>
      <c r="L45" s="372"/>
      <c r="M45" s="372"/>
      <c r="N45" s="1213"/>
      <c r="O45" s="372"/>
      <c r="P45" s="372"/>
      <c r="Q45" s="416"/>
      <c r="R45" s="372"/>
      <c r="S45" s="416"/>
      <c r="T45" s="372"/>
      <c r="U45" s="416"/>
      <c r="W45" s="359" t="s">
        <v>99</v>
      </c>
      <c r="X45" s="372">
        <v>2333</v>
      </c>
      <c r="Y45" s="372"/>
      <c r="Z45" s="372"/>
      <c r="AA45" s="372"/>
      <c r="AB45" s="372"/>
      <c r="AC45" s="372"/>
      <c r="AD45" s="372"/>
      <c r="AE45" s="372"/>
      <c r="AF45" s="372"/>
      <c r="AG45" s="416"/>
      <c r="AH45" s="372"/>
      <c r="AI45" s="416"/>
      <c r="AJ45" s="372"/>
      <c r="AK45" s="416"/>
      <c r="AM45" s="372"/>
      <c r="AN45" s="372"/>
      <c r="AO45" s="372"/>
      <c r="AP45" s="372"/>
      <c r="AQ45" s="372"/>
      <c r="AR45" s="372"/>
      <c r="AS45" s="372"/>
      <c r="AT45" s="372"/>
      <c r="AU45" s="372"/>
      <c r="AV45" s="416"/>
      <c r="AW45" s="372"/>
      <c r="AX45" s="416"/>
      <c r="AY45" s="372"/>
      <c r="AZ45" s="416"/>
    </row>
    <row r="46" spans="1:52">
      <c r="A46" s="172" t="s">
        <v>100</v>
      </c>
      <c r="B46" s="373">
        <f t="shared" si="25"/>
        <v>10530.365496266561</v>
      </c>
      <c r="C46" s="373">
        <f t="shared" si="26"/>
        <v>8813.0322256770924</v>
      </c>
      <c r="D46" s="373">
        <f t="shared" si="27"/>
        <v>9117.4344940086212</v>
      </c>
      <c r="E46" s="373"/>
      <c r="G46" s="373">
        <v>24773.99</v>
      </c>
      <c r="H46" s="373">
        <v>36917.550000000003</v>
      </c>
      <c r="I46" s="373">
        <v>58661.31</v>
      </c>
      <c r="J46" s="373">
        <v>46730.59</v>
      </c>
      <c r="K46" s="373">
        <v>36629</v>
      </c>
      <c r="L46" s="373">
        <v>72099</v>
      </c>
      <c r="M46" s="373">
        <v>28066.37</v>
      </c>
      <c r="N46" s="1214">
        <v>45000</v>
      </c>
      <c r="O46" s="373"/>
      <c r="P46" s="372">
        <f>AVERAGE(J46:L46)</f>
        <v>51819.53</v>
      </c>
      <c r="Q46" s="416">
        <f>P46/P$54</f>
        <v>1.323038429153232E-3</v>
      </c>
      <c r="R46" s="372">
        <f>AVERAGE(K46,L46,M46)</f>
        <v>45598.123333333329</v>
      </c>
      <c r="S46" s="416">
        <f>R46/R$54</f>
        <v>1.1072721375217759E-3</v>
      </c>
      <c r="T46" s="372">
        <f>AVERAGE(L46,M46,N46)</f>
        <v>48388.456666666665</v>
      </c>
      <c r="U46" s="416">
        <f>T46/T$54</f>
        <v>1.1455173341454652E-3</v>
      </c>
      <c r="W46" s="172" t="s">
        <v>100</v>
      </c>
      <c r="X46" s="373">
        <f>11455+900+13466</f>
        <v>25821</v>
      </c>
      <c r="Y46" s="373">
        <v>105904</v>
      </c>
      <c r="Z46" s="373">
        <v>97293</v>
      </c>
      <c r="AA46" s="373">
        <v>112725</v>
      </c>
      <c r="AB46" s="373">
        <v>4408</v>
      </c>
      <c r="AC46" s="373">
        <v>20078</v>
      </c>
      <c r="AD46" s="373">
        <v>51890</v>
      </c>
      <c r="AE46" s="373"/>
      <c r="AF46" s="373">
        <f>AVERAGE(X46:Z46)</f>
        <v>76339.333333333328</v>
      </c>
      <c r="AG46" s="416">
        <f>AF46/AF$54</f>
        <v>5.2419321594668919E-4</v>
      </c>
      <c r="AH46" s="372">
        <f>AVERAGE(AA46:AC46)</f>
        <v>45737</v>
      </c>
      <c r="AI46" s="416">
        <f>AH46/AH$54</f>
        <v>2.9217901950407869E-4</v>
      </c>
      <c r="AJ46" s="372">
        <f>AVERAGE(AB46,AC46,AD46)</f>
        <v>25458.666666666668</v>
      </c>
      <c r="AK46" s="416">
        <f>AJ46/AJ$54</f>
        <v>1.5481710160266757E-4</v>
      </c>
      <c r="AM46" s="373">
        <f>900+12862+17000+52432</f>
        <v>83194</v>
      </c>
      <c r="AN46" s="373">
        <f>715567+3669+24691+79237</f>
        <v>823164</v>
      </c>
      <c r="AO46" s="373">
        <f>1312216+551592</f>
        <v>1863808</v>
      </c>
      <c r="AP46" s="373">
        <f>1200568+2346+2310</f>
        <v>1205224</v>
      </c>
      <c r="AQ46" s="373">
        <f>5667+223663+10000+30814+1046</f>
        <v>271190</v>
      </c>
      <c r="AR46" s="373">
        <f>3062+157128+1900</f>
        <v>162090</v>
      </c>
      <c r="AS46" s="373">
        <f>40000+1000+78251+2398+27372</f>
        <v>149021</v>
      </c>
      <c r="AT46" s="373"/>
      <c r="AU46" s="373">
        <f>AVERAGE(AL46:AN46)</f>
        <v>453179</v>
      </c>
      <c r="AV46" s="416">
        <f>AU46/AU$54</f>
        <v>2.052212349842486E-3</v>
      </c>
      <c r="AW46" s="372">
        <f t="shared" si="29"/>
        <v>546168</v>
      </c>
      <c r="AX46" s="416">
        <f>AW46/AW$54</f>
        <v>1.9991594558553074E-3</v>
      </c>
      <c r="AY46" s="372">
        <f>AVERAGE(AP46,AQ46,AR46)</f>
        <v>546168</v>
      </c>
      <c r="AZ46" s="416">
        <f>AY46/AY$54</f>
        <v>1.845529761347453E-3</v>
      </c>
    </row>
    <row r="47" spans="1:52">
      <c r="A47" s="172" t="s">
        <v>101</v>
      </c>
      <c r="B47" s="374">
        <f t="shared" si="25"/>
        <v>0</v>
      </c>
      <c r="C47" s="374">
        <f t="shared" si="26"/>
        <v>0</v>
      </c>
      <c r="D47" s="374">
        <f t="shared" si="27"/>
        <v>0</v>
      </c>
      <c r="E47" s="374"/>
      <c r="G47" s="374"/>
      <c r="H47" s="374"/>
      <c r="I47" s="374"/>
      <c r="J47" s="374"/>
      <c r="K47" s="374"/>
      <c r="L47" s="374"/>
      <c r="M47" s="374"/>
      <c r="N47" s="1215"/>
      <c r="O47" s="374"/>
      <c r="P47" s="374"/>
      <c r="Q47" s="416"/>
      <c r="R47" s="374"/>
      <c r="S47" s="416"/>
      <c r="T47" s="374"/>
      <c r="U47" s="416"/>
      <c r="W47" s="172" t="s">
        <v>101</v>
      </c>
      <c r="X47" s="374">
        <v>0</v>
      </c>
      <c r="Y47" s="374"/>
      <c r="Z47" s="374"/>
      <c r="AA47" s="374"/>
      <c r="AB47" s="374"/>
      <c r="AC47" s="374"/>
      <c r="AD47" s="374"/>
      <c r="AE47" s="374"/>
      <c r="AF47" s="374"/>
      <c r="AG47" s="416"/>
      <c r="AH47" s="374"/>
      <c r="AI47" s="416"/>
      <c r="AJ47" s="374"/>
      <c r="AK47" s="416"/>
      <c r="AM47" s="374"/>
      <c r="AN47" s="374"/>
      <c r="AO47" s="374"/>
      <c r="AP47" s="374"/>
      <c r="AQ47" s="374"/>
      <c r="AR47" s="374"/>
      <c r="AS47" s="374"/>
      <c r="AT47" s="374"/>
      <c r="AU47" s="374"/>
      <c r="AV47" s="416"/>
      <c r="AW47" s="374"/>
      <c r="AX47" s="416"/>
      <c r="AY47" s="374"/>
      <c r="AZ47" s="416"/>
    </row>
    <row r="48" spans="1:52">
      <c r="A48" s="359" t="s">
        <v>102</v>
      </c>
      <c r="B48" s="372">
        <f t="shared" si="25"/>
        <v>0</v>
      </c>
      <c r="C48" s="372">
        <f t="shared" si="26"/>
        <v>0</v>
      </c>
      <c r="D48" s="372">
        <f t="shared" si="27"/>
        <v>0</v>
      </c>
      <c r="E48" s="372"/>
      <c r="G48" s="372"/>
      <c r="H48" s="372"/>
      <c r="I48" s="372"/>
      <c r="J48" s="372"/>
      <c r="K48" s="372"/>
      <c r="L48" s="372"/>
      <c r="M48" s="372"/>
      <c r="N48" s="1213"/>
      <c r="O48" s="372"/>
      <c r="P48" s="372"/>
      <c r="Q48" s="416">
        <f>P48/P$54</f>
        <v>0</v>
      </c>
      <c r="R48" s="372"/>
      <c r="S48" s="416">
        <f>R48/R$54</f>
        <v>0</v>
      </c>
      <c r="T48" s="372"/>
      <c r="U48" s="416">
        <f>T48/T$54</f>
        <v>0</v>
      </c>
      <c r="W48" s="359" t="s">
        <v>102</v>
      </c>
      <c r="X48" s="372">
        <v>0</v>
      </c>
      <c r="Y48" s="372">
        <v>90576</v>
      </c>
      <c r="Z48" s="372"/>
      <c r="AA48" s="372">
        <v>118252</v>
      </c>
      <c r="AB48" s="372">
        <v>156005</v>
      </c>
      <c r="AC48" s="372">
        <v>131416</v>
      </c>
      <c r="AD48" s="372">
        <v>142777</v>
      </c>
      <c r="AE48" s="372"/>
      <c r="AF48" s="372"/>
      <c r="AG48" s="416">
        <f>AF48/AF$54</f>
        <v>0</v>
      </c>
      <c r="AH48" s="372">
        <f>AVERAGE(AA48:AC48)</f>
        <v>135224.33333333334</v>
      </c>
      <c r="AI48" s="416">
        <f>AH48/AH$54</f>
        <v>8.6384575128290093E-4</v>
      </c>
      <c r="AJ48" s="372">
        <f>AVERAGE(AB48,AC48,AD48)</f>
        <v>143399.33333333334</v>
      </c>
      <c r="AK48" s="416">
        <f>AJ48/AJ$54</f>
        <v>8.7202796003017162E-4</v>
      </c>
      <c r="AM48" s="372">
        <v>0</v>
      </c>
      <c r="AN48" s="372">
        <v>197196</v>
      </c>
      <c r="AO48" s="372">
        <v>117471</v>
      </c>
      <c r="AP48" s="372">
        <f>3500+118252</f>
        <v>121752</v>
      </c>
      <c r="AQ48" s="372"/>
      <c r="AR48" s="372"/>
      <c r="AS48" s="372"/>
      <c r="AT48" s="372"/>
      <c r="AU48" s="372">
        <f>AVERAGE(AO48:AQ48)</f>
        <v>119611.5</v>
      </c>
      <c r="AV48" s="416">
        <f>AU48/AU$54</f>
        <v>5.4165836784843193E-4</v>
      </c>
      <c r="AW48" s="372">
        <f>AVERAGE(AP48:AR48)</f>
        <v>121752</v>
      </c>
      <c r="AX48" s="416">
        <f>AW48/AW$54</f>
        <v>4.4565346572720372E-4</v>
      </c>
      <c r="AY48" s="372"/>
      <c r="AZ48" s="416">
        <f>AY48/AY$54</f>
        <v>0</v>
      </c>
    </row>
    <row r="49" spans="1:55">
      <c r="A49" s="172" t="s">
        <v>103</v>
      </c>
      <c r="B49" s="373">
        <f t="shared" si="25"/>
        <v>251.47521217637191</v>
      </c>
      <c r="C49" s="373">
        <f t="shared" si="26"/>
        <v>234.37574554478905</v>
      </c>
      <c r="D49" s="373">
        <f t="shared" si="27"/>
        <v>435.06190005183799</v>
      </c>
      <c r="E49" s="373"/>
      <c r="G49" s="373"/>
      <c r="H49" s="373"/>
      <c r="I49" s="373"/>
      <c r="J49" s="373"/>
      <c r="K49" s="373">
        <v>1711</v>
      </c>
      <c r="L49" s="373">
        <v>764</v>
      </c>
      <c r="M49" s="373">
        <v>1162.94</v>
      </c>
      <c r="N49" s="1214">
        <v>5000</v>
      </c>
      <c r="O49" s="373"/>
      <c r="P49" s="372">
        <f>AVERAGE(J49:L49)</f>
        <v>1237.5</v>
      </c>
      <c r="Q49" s="416">
        <f>P49/P$54</f>
        <v>3.1595424660878333E-5</v>
      </c>
      <c r="R49" s="372">
        <f>AVERAGE(K49,L49,M49)</f>
        <v>1212.6466666666668</v>
      </c>
      <c r="S49" s="416">
        <f>R49/R$54</f>
        <v>2.9447042301345957E-5</v>
      </c>
      <c r="T49" s="372">
        <f>AVERAGE(L49,M49,N49)</f>
        <v>2308.98</v>
      </c>
      <c r="U49" s="416">
        <f>T49/T$54</f>
        <v>5.4661313800843746E-5</v>
      </c>
      <c r="W49" s="172" t="s">
        <v>103</v>
      </c>
      <c r="X49" s="373">
        <v>0</v>
      </c>
      <c r="Y49" s="373"/>
      <c r="Z49" s="373"/>
      <c r="AA49" s="373"/>
      <c r="AB49" s="373"/>
      <c r="AC49" s="373"/>
      <c r="AD49" s="373"/>
      <c r="AE49" s="373"/>
      <c r="AF49" s="373">
        <f>AVERAGE(X49:Z49)</f>
        <v>0</v>
      </c>
      <c r="AG49" s="416">
        <f>AF49/AF$54</f>
        <v>0</v>
      </c>
      <c r="AH49" s="372"/>
      <c r="AI49" s="416">
        <f>AH49/AH$54</f>
        <v>0</v>
      </c>
      <c r="AJ49" s="372"/>
      <c r="AK49" s="416">
        <f>AJ49/AJ$54</f>
        <v>0</v>
      </c>
      <c r="AM49" s="373">
        <v>18295</v>
      </c>
      <c r="AN49" s="373">
        <v>0</v>
      </c>
      <c r="AO49" s="373">
        <v>0</v>
      </c>
      <c r="AP49" s="373">
        <v>0</v>
      </c>
      <c r="AQ49" s="373"/>
      <c r="AR49" s="373"/>
      <c r="AS49" s="373">
        <v>118208</v>
      </c>
      <c r="AT49" s="373"/>
      <c r="AU49" s="372">
        <f>AVERAGE(AO49:AQ49)</f>
        <v>0</v>
      </c>
      <c r="AV49" s="416">
        <f>AU49/AU$54</f>
        <v>0</v>
      </c>
      <c r="AW49" s="372">
        <f>AVERAGE(AP49:AR49)</f>
        <v>0</v>
      </c>
      <c r="AX49" s="416">
        <f t="shared" ref="AX49:AZ51" si="31">AW49/AW$54</f>
        <v>0</v>
      </c>
      <c r="AY49" s="372">
        <f>AVERAGE(AR49,AQ49,AS49)</f>
        <v>118208</v>
      </c>
      <c r="AZ49" s="416">
        <f t="shared" si="31"/>
        <v>3.9943091142168659E-4</v>
      </c>
    </row>
    <row r="50" spans="1:55">
      <c r="A50" s="172" t="s">
        <v>450</v>
      </c>
      <c r="B50" s="373">
        <f t="shared" si="25"/>
        <v>146.76601413344733</v>
      </c>
      <c r="C50" s="373">
        <f t="shared" si="26"/>
        <v>0</v>
      </c>
      <c r="D50" s="373">
        <f t="shared" si="27"/>
        <v>0</v>
      </c>
      <c r="E50" s="373"/>
      <c r="G50" s="373">
        <v>0</v>
      </c>
      <c r="H50" s="373">
        <v>0</v>
      </c>
      <c r="I50" s="373">
        <v>0</v>
      </c>
      <c r="J50" s="373">
        <v>722.23</v>
      </c>
      <c r="K50" s="373"/>
      <c r="L50" s="373"/>
      <c r="M50" s="373"/>
      <c r="N50" s="1214"/>
      <c r="O50" s="373"/>
      <c r="P50" s="372">
        <f>AVERAGE(J50:L50)</f>
        <v>722.23</v>
      </c>
      <c r="Q50" s="416">
        <f>P50/P$54</f>
        <v>1.8439728123495885E-5</v>
      </c>
      <c r="R50" s="372"/>
      <c r="S50" s="416">
        <f>R50/R$54</f>
        <v>0</v>
      </c>
      <c r="T50" s="372"/>
      <c r="U50" s="416">
        <f>T50/T$54</f>
        <v>0</v>
      </c>
      <c r="W50" s="172" t="s">
        <v>450</v>
      </c>
      <c r="X50" s="373">
        <v>0</v>
      </c>
      <c r="Y50" s="373"/>
      <c r="Z50" s="373"/>
      <c r="AA50" s="373"/>
      <c r="AB50" s="373"/>
      <c r="AC50" s="373"/>
      <c r="AD50" s="373"/>
      <c r="AE50" s="373"/>
      <c r="AF50" s="373">
        <f>AVERAGE(X50:Z50)</f>
        <v>0</v>
      </c>
      <c r="AG50" s="416">
        <f>AF50/AF$54</f>
        <v>0</v>
      </c>
      <c r="AH50" s="372"/>
      <c r="AI50" s="416">
        <f>AH50/AH$54</f>
        <v>0</v>
      </c>
      <c r="AJ50" s="372"/>
      <c r="AK50" s="416">
        <f>AJ50/AJ$54</f>
        <v>0</v>
      </c>
      <c r="AM50" s="373"/>
      <c r="AN50" s="373"/>
      <c r="AO50" s="373"/>
      <c r="AP50" s="373"/>
      <c r="AQ50" s="373">
        <v>81388</v>
      </c>
      <c r="AR50" s="373"/>
      <c r="AS50" s="373">
        <v>5000</v>
      </c>
      <c r="AT50" s="373"/>
      <c r="AU50" s="372">
        <f>AVERAGE(AO50:AQ50)</f>
        <v>81388</v>
      </c>
      <c r="AV50" s="416">
        <f>AU50/AU$54</f>
        <v>3.685639862592491E-4</v>
      </c>
      <c r="AW50" s="372">
        <f>AVERAGE(AP50:AR50)</f>
        <v>81388</v>
      </c>
      <c r="AX50" s="416">
        <f t="shared" si="31"/>
        <v>2.9790758483314982E-4</v>
      </c>
      <c r="AY50" s="372">
        <f>AVERAGE(AR50,AQ50,AS50)</f>
        <v>43194</v>
      </c>
      <c r="AZ50" s="416">
        <f t="shared" si="31"/>
        <v>1.4595474746166359E-4</v>
      </c>
    </row>
    <row r="51" spans="1:55">
      <c r="A51" s="377" t="s">
        <v>476</v>
      </c>
      <c r="B51" s="372">
        <f t="shared" si="25"/>
        <v>0</v>
      </c>
      <c r="C51" s="372">
        <f t="shared" si="26"/>
        <v>0</v>
      </c>
      <c r="D51" s="372">
        <f t="shared" si="27"/>
        <v>0</v>
      </c>
      <c r="E51" s="372"/>
      <c r="G51" s="372"/>
      <c r="H51" s="372"/>
      <c r="I51" s="372"/>
      <c r="J51" s="372"/>
      <c r="K51" s="372"/>
      <c r="L51" s="372"/>
      <c r="M51" s="372"/>
      <c r="N51" s="1213"/>
      <c r="O51" s="372"/>
      <c r="P51" s="372"/>
      <c r="Q51" s="416"/>
      <c r="R51" s="372"/>
      <c r="S51" s="416"/>
      <c r="T51" s="372"/>
      <c r="U51" s="416"/>
      <c r="W51" s="377" t="s">
        <v>476</v>
      </c>
      <c r="X51" s="372">
        <v>0</v>
      </c>
      <c r="Y51" s="372"/>
      <c r="Z51" s="372"/>
      <c r="AA51" s="372"/>
      <c r="AB51" s="372"/>
      <c r="AC51" s="372"/>
      <c r="AD51" s="372"/>
      <c r="AE51" s="372"/>
      <c r="AF51" s="372"/>
      <c r="AG51" s="416"/>
      <c r="AH51" s="372"/>
      <c r="AI51" s="416"/>
      <c r="AJ51" s="372"/>
      <c r="AK51" s="416"/>
      <c r="AM51" s="372"/>
      <c r="AN51" s="372"/>
      <c r="AO51" s="372"/>
      <c r="AP51" s="372"/>
      <c r="AQ51" s="372">
        <v>116471</v>
      </c>
      <c r="AR51" s="372">
        <v>115899</v>
      </c>
      <c r="AS51" s="372"/>
      <c r="AT51" s="372"/>
      <c r="AU51" s="372">
        <f>AVERAGE(AO51:AQ51)</f>
        <v>116471</v>
      </c>
      <c r="AV51" s="416">
        <f>AU51/AU$54</f>
        <v>5.2743667424683008E-4</v>
      </c>
      <c r="AW51" s="372">
        <f>AVERAGE(AP51:AR51)</f>
        <v>116185</v>
      </c>
      <c r="AX51" s="416">
        <f t="shared" si="31"/>
        <v>4.2527636437606907E-4</v>
      </c>
      <c r="AY51" s="372">
        <f>AVERAGE(AR51,AQ51,AS51)</f>
        <v>116185</v>
      </c>
      <c r="AZ51" s="416">
        <f t="shared" si="31"/>
        <v>3.9259509037906619E-4</v>
      </c>
    </row>
    <row r="52" spans="1:55">
      <c r="A52" s="172" t="s">
        <v>104</v>
      </c>
      <c r="B52" s="373">
        <f t="shared" si="25"/>
        <v>0</v>
      </c>
      <c r="C52" s="373">
        <f t="shared" si="26"/>
        <v>0</v>
      </c>
      <c r="D52" s="373">
        <f t="shared" si="27"/>
        <v>0</v>
      </c>
      <c r="E52" s="373"/>
      <c r="G52" s="373"/>
      <c r="H52" s="373"/>
      <c r="I52" s="373"/>
      <c r="J52" s="373"/>
      <c r="K52" s="373"/>
      <c r="L52" s="373"/>
      <c r="M52" s="373"/>
      <c r="N52" s="1214"/>
      <c r="O52" s="373"/>
      <c r="P52" s="373"/>
      <c r="Q52" s="416"/>
      <c r="R52" s="373"/>
      <c r="S52" s="416"/>
      <c r="T52" s="373"/>
      <c r="U52" s="416"/>
      <c r="W52" s="172" t="s">
        <v>104</v>
      </c>
      <c r="X52" s="373">
        <v>0</v>
      </c>
      <c r="Y52" s="373"/>
      <c r="Z52" s="373"/>
      <c r="AA52" s="373"/>
      <c r="AB52" s="373"/>
      <c r="AC52" s="373"/>
      <c r="AD52" s="373"/>
      <c r="AE52" s="373"/>
      <c r="AF52" s="373"/>
      <c r="AG52" s="416"/>
      <c r="AH52" s="373"/>
      <c r="AI52" s="416"/>
      <c r="AJ52" s="373"/>
      <c r="AK52" s="416"/>
      <c r="AM52" s="373"/>
      <c r="AN52" s="373"/>
      <c r="AO52" s="373"/>
      <c r="AP52" s="373"/>
      <c r="AQ52" s="373"/>
      <c r="AR52" s="373"/>
      <c r="AS52" s="373"/>
      <c r="AT52" s="373"/>
      <c r="AU52" s="373"/>
      <c r="AV52" s="416"/>
      <c r="AW52" s="373"/>
      <c r="AX52" s="416"/>
      <c r="AY52" s="373"/>
      <c r="AZ52" s="416"/>
    </row>
    <row r="53" spans="1:55">
      <c r="A53" s="366"/>
      <c r="B53" s="367"/>
      <c r="C53" s="367"/>
      <c r="D53" s="367"/>
      <c r="E53" s="1024"/>
      <c r="G53" s="367"/>
      <c r="H53" s="367"/>
      <c r="I53" s="367"/>
      <c r="J53" s="367"/>
      <c r="K53" s="367"/>
      <c r="L53" s="367"/>
      <c r="M53" s="367"/>
      <c r="N53" s="367"/>
      <c r="O53" s="367"/>
      <c r="P53" s="367"/>
      <c r="Q53" s="315"/>
      <c r="R53" s="367"/>
      <c r="S53" s="315"/>
      <c r="T53" s="367"/>
      <c r="U53" s="315"/>
      <c r="W53" s="366"/>
      <c r="X53" s="367">
        <f t="shared" ref="X53:AC53" si="32">SUM(X35:X52)</f>
        <v>2062544</v>
      </c>
      <c r="Y53" s="367">
        <f t="shared" si="32"/>
        <v>1878707</v>
      </c>
      <c r="Z53" s="367">
        <f t="shared" si="32"/>
        <v>1545197</v>
      </c>
      <c r="AA53" s="367">
        <f t="shared" si="32"/>
        <v>3162236</v>
      </c>
      <c r="AB53" s="367">
        <f t="shared" si="32"/>
        <v>4807136</v>
      </c>
      <c r="AC53" s="367">
        <f t="shared" si="32"/>
        <v>6539747</v>
      </c>
      <c r="AD53" s="367">
        <f t="shared" ref="AD53:AJ53" si="33">SUM(AD35:AD52)</f>
        <v>6746129</v>
      </c>
      <c r="AE53" s="367"/>
      <c r="AF53" s="367">
        <f t="shared" si="33"/>
        <v>1050187.6666666667</v>
      </c>
      <c r="AG53" s="315"/>
      <c r="AH53" s="367">
        <f t="shared" si="33"/>
        <v>4956441.166666667</v>
      </c>
      <c r="AI53" s="315"/>
      <c r="AJ53" s="367">
        <f t="shared" si="33"/>
        <v>6031004</v>
      </c>
      <c r="AK53" s="315"/>
      <c r="AM53" s="367">
        <f t="shared" ref="AM53:AR53" si="34">SUM(AM35:AM52)</f>
        <v>3780031</v>
      </c>
      <c r="AN53" s="367">
        <f t="shared" si="34"/>
        <v>3507112</v>
      </c>
      <c r="AO53" s="367">
        <f t="shared" si="34"/>
        <v>4523405</v>
      </c>
      <c r="AP53" s="367">
        <f t="shared" si="34"/>
        <v>9053137</v>
      </c>
      <c r="AQ53" s="367">
        <f t="shared" si="34"/>
        <v>10727412</v>
      </c>
      <c r="AR53" s="367">
        <f t="shared" si="34"/>
        <v>10966592</v>
      </c>
      <c r="AS53" s="367">
        <f>SUM(AS35:AS52)</f>
        <v>9315021</v>
      </c>
      <c r="AT53" s="367"/>
      <c r="AU53" s="367">
        <f>SUM(AU35:AU52)</f>
        <v>6595114</v>
      </c>
      <c r="AV53" s="315"/>
      <c r="AW53" s="367">
        <f>SUM(AW35:AW52)</f>
        <v>11287363.000000002</v>
      </c>
      <c r="AX53" s="315"/>
      <c r="AY53" s="367">
        <f>SUM(AY35:AY52)</f>
        <v>10981553.999999998</v>
      </c>
      <c r="AZ53" s="315"/>
    </row>
    <row r="54" spans="1:55" ht="16.5" thickBot="1">
      <c r="A54" s="368" t="s">
        <v>405</v>
      </c>
      <c r="B54" s="369">
        <f>SUM(B12:B53)</f>
        <v>7959228.7451591147</v>
      </c>
      <c r="C54" s="369">
        <f>SUM(C12:C53)</f>
        <v>7973208.5075200861</v>
      </c>
      <c r="D54" s="369">
        <f>SUM(D12:D53)</f>
        <v>7959228.7451591128</v>
      </c>
      <c r="E54" s="781"/>
      <c r="G54" s="369">
        <f t="shared" ref="G54:L54" si="35">SUM(G12:G53)</f>
        <v>38301148.400000006</v>
      </c>
      <c r="H54" s="369">
        <f t="shared" si="35"/>
        <v>36126424.259999998</v>
      </c>
      <c r="I54" s="369">
        <f t="shared" si="35"/>
        <v>35479276.110000007</v>
      </c>
      <c r="J54" s="369">
        <f t="shared" si="35"/>
        <v>37491012.159999989</v>
      </c>
      <c r="K54" s="369">
        <f t="shared" si="35"/>
        <v>39609309</v>
      </c>
      <c r="L54" s="369">
        <f t="shared" si="35"/>
        <v>40339306</v>
      </c>
      <c r="M54" s="369">
        <f>SUM(M12:M53)</f>
        <v>43605446.119999982</v>
      </c>
      <c r="N54" s="369">
        <f>SUM(N12:N53)</f>
        <v>42775000</v>
      </c>
      <c r="O54" s="369"/>
      <c r="P54" s="369">
        <f t="shared" ref="P54:U54" si="36">SUM(P12:P53)</f>
        <v>39167063.37333332</v>
      </c>
      <c r="Q54" s="487">
        <f t="shared" si="36"/>
        <v>1.0000000000000004</v>
      </c>
      <c r="R54" s="369">
        <f t="shared" si="36"/>
        <v>41180593.088333338</v>
      </c>
      <c r="S54" s="487">
        <f t="shared" si="36"/>
        <v>0.99999999999999989</v>
      </c>
      <c r="T54" s="369">
        <f t="shared" si="36"/>
        <v>42241575.246666662</v>
      </c>
      <c r="U54" s="487">
        <f t="shared" si="36"/>
        <v>1</v>
      </c>
      <c r="W54" s="368" t="s">
        <v>405</v>
      </c>
      <c r="X54" s="369">
        <f t="shared" ref="X54:AC54" si="37">X31+X53</f>
        <v>165696867</v>
      </c>
      <c r="Y54" s="369">
        <f t="shared" si="37"/>
        <v>143472219</v>
      </c>
      <c r="Z54" s="369">
        <f t="shared" si="37"/>
        <v>138646414</v>
      </c>
      <c r="AA54" s="369">
        <f t="shared" si="37"/>
        <v>147054166</v>
      </c>
      <c r="AB54" s="369">
        <f t="shared" si="37"/>
        <v>157559580</v>
      </c>
      <c r="AC54" s="369">
        <f t="shared" si="37"/>
        <v>164638824</v>
      </c>
      <c r="AD54" s="369">
        <f t="shared" ref="AD54:AJ54" si="38">AD31+AD53</f>
        <v>171161269</v>
      </c>
      <c r="AE54" s="369"/>
      <c r="AF54" s="369">
        <f t="shared" si="38"/>
        <v>145632051.33333334</v>
      </c>
      <c r="AG54" s="487">
        <f>SUM(AG12:AG53)</f>
        <v>0.99928245420077555</v>
      </c>
      <c r="AH54" s="369">
        <f t="shared" si="38"/>
        <v>156537591.5</v>
      </c>
      <c r="AI54" s="487">
        <f>SUM(AI12:AI53)</f>
        <v>1</v>
      </c>
      <c r="AJ54" s="369">
        <f t="shared" si="38"/>
        <v>164443503.99999997</v>
      </c>
      <c r="AK54" s="487">
        <f>SUM(AK12:AK53)</f>
        <v>1.0000000000000002</v>
      </c>
      <c r="AM54" s="369">
        <f t="shared" ref="AM54:AS54" si="39">AM31+AM53</f>
        <v>206871086</v>
      </c>
      <c r="AN54" s="369">
        <f t="shared" si="39"/>
        <v>182209618</v>
      </c>
      <c r="AO54" s="369">
        <f t="shared" si="39"/>
        <v>202224763</v>
      </c>
      <c r="AP54" s="369">
        <f t="shared" si="39"/>
        <v>219251466</v>
      </c>
      <c r="AQ54" s="369">
        <f t="shared" si="39"/>
        <v>246612076</v>
      </c>
      <c r="AR54" s="369">
        <f t="shared" si="39"/>
        <v>349583766</v>
      </c>
      <c r="AS54" s="369">
        <f t="shared" si="39"/>
        <v>291330447</v>
      </c>
      <c r="AT54" s="369"/>
      <c r="AU54" s="369">
        <f>AU31+AU53</f>
        <v>220824614.00000003</v>
      </c>
      <c r="AV54" s="487">
        <f>SUM(AV12:AV53)</f>
        <v>1.0000000000000002</v>
      </c>
      <c r="AW54" s="369">
        <f>AW31+AW53</f>
        <v>273198817.83333337</v>
      </c>
      <c r="AX54" s="487">
        <f>SUM(AX12:AX53)</f>
        <v>0.99999999999999978</v>
      </c>
      <c r="AY54" s="369">
        <f>AY31+AY53</f>
        <v>295941041.66666669</v>
      </c>
      <c r="AZ54" s="487">
        <f>SUM(AZ12:AZ53)</f>
        <v>0.99999999999999989</v>
      </c>
    </row>
    <row r="55" spans="1:55" ht="16.5" thickTop="1">
      <c r="B55" s="315"/>
      <c r="D55" s="315"/>
      <c r="E55" s="315"/>
      <c r="G55" s="148"/>
      <c r="H55" s="315"/>
      <c r="I55" s="315"/>
      <c r="J55" s="315"/>
      <c r="K55" s="315"/>
      <c r="L55" s="315"/>
      <c r="M55" s="315"/>
      <c r="N55" s="315"/>
      <c r="O55" s="315"/>
      <c r="Y55" s="315"/>
      <c r="Z55" s="315"/>
      <c r="AA55" s="315"/>
      <c r="AB55" s="315"/>
      <c r="AC55" s="315"/>
      <c r="AD55" s="315"/>
      <c r="AE55" s="315"/>
      <c r="AF55" s="315"/>
      <c r="AL55" s="315"/>
      <c r="AN55" s="315"/>
      <c r="AO55" s="315"/>
      <c r="AP55" s="315"/>
      <c r="AQ55" s="315"/>
      <c r="AR55" s="315"/>
      <c r="AS55" s="315"/>
      <c r="AT55" s="315"/>
      <c r="AU55" s="315"/>
    </row>
    <row r="56" spans="1:55">
      <c r="A56" t="s">
        <v>491</v>
      </c>
      <c r="B56" s="147"/>
      <c r="D56" s="147"/>
      <c r="E56" s="147"/>
      <c r="F56" t="s">
        <v>491</v>
      </c>
      <c r="G56" s="147">
        <v>3250.4</v>
      </c>
      <c r="H56" s="147">
        <v>58105.01</v>
      </c>
      <c r="I56" s="147">
        <v>133095.32</v>
      </c>
      <c r="J56" s="147">
        <v>133672.81</v>
      </c>
      <c r="K56" s="147">
        <v>189298</v>
      </c>
      <c r="L56" s="147">
        <v>184612</v>
      </c>
      <c r="M56" s="147">
        <v>164852.32999999999</v>
      </c>
      <c r="N56" s="147">
        <v>330000</v>
      </c>
      <c r="O56" s="147"/>
      <c r="X56" t="s">
        <v>491</v>
      </c>
      <c r="Y56" s="147">
        <v>15751.92</v>
      </c>
      <c r="Z56" s="147">
        <v>325013.03000000003</v>
      </c>
      <c r="AA56" s="147">
        <v>803777.13</v>
      </c>
      <c r="AB56" s="315">
        <v>1317334.6299999999</v>
      </c>
      <c r="AC56" s="315"/>
      <c r="AD56" s="315"/>
      <c r="AE56" s="315"/>
      <c r="AF56" s="147"/>
      <c r="AL56" s="315"/>
      <c r="AN56" s="147">
        <v>3250.4</v>
      </c>
      <c r="AO56" s="147">
        <v>58105.01</v>
      </c>
      <c r="AP56" s="147">
        <v>133095.32</v>
      </c>
      <c r="AQ56" s="147">
        <v>133672.81</v>
      </c>
      <c r="AR56" s="147"/>
      <c r="AS56" s="147">
        <v>906468</v>
      </c>
      <c r="AT56" s="315"/>
      <c r="AU56" s="147"/>
    </row>
    <row r="57" spans="1:55" ht="16.5" thickBot="1">
      <c r="F57" t="s">
        <v>13</v>
      </c>
      <c r="G57" s="369">
        <f>SUM(G54:G56)</f>
        <v>38304398.800000004</v>
      </c>
      <c r="H57" s="369">
        <f t="shared" ref="H57:M57" si="40">SUM(H54:H56)</f>
        <v>36184529.269999996</v>
      </c>
      <c r="I57" s="369">
        <f t="shared" si="40"/>
        <v>35612371.430000007</v>
      </c>
      <c r="J57" s="369">
        <f t="shared" si="40"/>
        <v>37624684.969999991</v>
      </c>
      <c r="K57" s="369">
        <f t="shared" si="40"/>
        <v>39798607</v>
      </c>
      <c r="L57" s="369">
        <f t="shared" si="40"/>
        <v>40523918</v>
      </c>
      <c r="M57" s="369">
        <f t="shared" si="40"/>
        <v>43770298.449999981</v>
      </c>
      <c r="N57" s="369">
        <f>SUM(N54:N56)</f>
        <v>43105000</v>
      </c>
      <c r="O57" s="369"/>
      <c r="X57" s="410" t="s">
        <v>492</v>
      </c>
      <c r="Y57" s="411"/>
      <c r="Z57" s="411"/>
      <c r="AA57" s="411"/>
      <c r="AB57" s="412">
        <v>3500</v>
      </c>
      <c r="AC57" s="412"/>
      <c r="AD57" s="412"/>
      <c r="AE57" s="412"/>
      <c r="AF57" s="369">
        <f>SUM(AF54:AF56)</f>
        <v>145632051.33333334</v>
      </c>
      <c r="AL57" s="413"/>
      <c r="AS57" s="369">
        <f>SUM(AS54:AS56)</f>
        <v>292236915</v>
      </c>
      <c r="AT57" s="412"/>
      <c r="AU57" s="369">
        <f>SUM(AU54:AU56)</f>
        <v>220824614.00000003</v>
      </c>
    </row>
    <row r="58" spans="1:55" ht="16.5" thickTop="1">
      <c r="H58" s="188"/>
      <c r="I58" s="188"/>
      <c r="J58" s="188"/>
      <c r="K58" s="400"/>
      <c r="L58" s="400"/>
      <c r="M58" s="400"/>
      <c r="N58" s="400"/>
      <c r="O58" s="400"/>
      <c r="P58" s="400"/>
      <c r="Q58" s="401"/>
      <c r="R58" s="402"/>
      <c r="S58" s="402"/>
      <c r="T58" s="402"/>
      <c r="U58" s="402"/>
      <c r="V58" s="402"/>
      <c r="W58" s="402"/>
      <c r="X58" s="402"/>
      <c r="Y58" s="402"/>
      <c r="Z58" s="402"/>
      <c r="AA58" s="402"/>
      <c r="AB58" s="402"/>
      <c r="AF58" s="400"/>
      <c r="AG58" s="400"/>
      <c r="AH58" s="400"/>
      <c r="AI58" s="401"/>
      <c r="AJ58" s="402"/>
      <c r="AK58" s="402"/>
      <c r="AU58" s="400"/>
      <c r="AV58" s="400"/>
      <c r="AW58" s="400"/>
      <c r="AX58" s="401"/>
      <c r="AY58" s="402"/>
      <c r="AZ58" s="401"/>
      <c r="BA58" s="6"/>
      <c r="BB58" s="5"/>
      <c r="BC58" s="5"/>
    </row>
    <row r="59" spans="1:55">
      <c r="H59" s="188"/>
      <c r="I59" s="188"/>
      <c r="J59" s="188"/>
      <c r="K59" s="400"/>
      <c r="L59" s="400"/>
      <c r="M59" s="400"/>
      <c r="N59" s="400"/>
      <c r="O59" s="400"/>
      <c r="P59" s="400"/>
      <c r="Q59" s="401"/>
      <c r="R59" s="402"/>
      <c r="S59" s="402"/>
      <c r="T59" s="402"/>
      <c r="U59" s="402"/>
      <c r="V59" s="402"/>
      <c r="W59" s="402"/>
      <c r="X59" s="402"/>
      <c r="Y59" s="402"/>
      <c r="Z59" s="402"/>
      <c r="AA59" s="402"/>
      <c r="AB59" s="402"/>
      <c r="AF59" s="400"/>
      <c r="AG59" s="400"/>
      <c r="AH59" s="400"/>
      <c r="AI59" s="401"/>
      <c r="AJ59" s="402"/>
      <c r="AK59" s="402"/>
      <c r="AU59" s="400"/>
      <c r="AV59" s="400"/>
      <c r="AW59" s="400"/>
      <c r="AX59" s="401"/>
      <c r="AY59" s="402"/>
      <c r="AZ59" s="401"/>
    </row>
    <row r="60" spans="1:55">
      <c r="H60" s="188"/>
      <c r="I60" s="188"/>
      <c r="J60" s="188"/>
      <c r="K60" s="400"/>
      <c r="L60" s="400"/>
      <c r="M60" s="400"/>
      <c r="N60" s="400"/>
      <c r="O60" s="400"/>
      <c r="P60" s="400"/>
      <c r="Q60" s="401"/>
      <c r="R60" s="402"/>
      <c r="S60" s="402"/>
      <c r="T60" s="402"/>
      <c r="U60" s="402"/>
      <c r="V60" s="402"/>
      <c r="W60" s="402"/>
      <c r="X60" s="402"/>
      <c r="Y60" s="402"/>
      <c r="Z60" s="402"/>
      <c r="AA60" s="402"/>
      <c r="AB60" s="402"/>
      <c r="AF60" s="400"/>
      <c r="AG60" s="400"/>
      <c r="AH60" s="400"/>
      <c r="AI60" s="401"/>
      <c r="AJ60" s="402"/>
      <c r="AK60" s="402"/>
      <c r="AU60" s="400"/>
      <c r="AV60" s="400"/>
      <c r="AW60" s="400"/>
      <c r="AX60" s="401"/>
      <c r="AY60" s="402"/>
      <c r="AZ60" s="401"/>
      <c r="BA60" s="315"/>
      <c r="BB60" s="315"/>
      <c r="BC60" s="315"/>
    </row>
    <row r="61" spans="1:55">
      <c r="H61" s="188"/>
      <c r="I61" s="188"/>
      <c r="J61" s="188"/>
      <c r="K61" s="400"/>
      <c r="L61" s="400"/>
      <c r="M61" s="400"/>
      <c r="N61" s="400"/>
      <c r="O61" s="400"/>
      <c r="P61" s="400"/>
      <c r="Q61" s="401"/>
      <c r="R61" s="402"/>
      <c r="S61" s="402"/>
      <c r="T61" s="402"/>
      <c r="U61" s="402"/>
      <c r="V61" s="402"/>
      <c r="W61" s="402"/>
      <c r="X61" s="402"/>
      <c r="Y61" s="402"/>
      <c r="Z61" s="402"/>
      <c r="AA61" s="402"/>
      <c r="AB61" s="402"/>
      <c r="AF61" s="400"/>
      <c r="AG61" s="400"/>
      <c r="AH61" s="400"/>
      <c r="AI61" s="401"/>
      <c r="AJ61" s="402"/>
      <c r="AK61" s="402"/>
      <c r="AU61" s="400"/>
      <c r="AV61" s="400"/>
      <c r="AW61" s="400"/>
      <c r="AX61" s="401"/>
      <c r="AY61" s="402"/>
      <c r="AZ61" s="401"/>
      <c r="BA61" s="12"/>
    </row>
    <row r="62" spans="1:55">
      <c r="M62" s="1"/>
      <c r="N62" s="1"/>
      <c r="O62" s="1"/>
      <c r="P62" s="1"/>
      <c r="AF62" s="1"/>
      <c r="AG62" s="1"/>
      <c r="AH62" s="1"/>
      <c r="AU62" s="1"/>
      <c r="AV62" s="1"/>
      <c r="AW62" s="1"/>
      <c r="BA62" s="12"/>
    </row>
    <row r="63" spans="1:55">
      <c r="M63" s="145"/>
      <c r="N63" s="145"/>
      <c r="O63" s="145"/>
      <c r="P63" s="145"/>
      <c r="AF63" s="145"/>
      <c r="AG63" s="145"/>
      <c r="AH63" s="145"/>
      <c r="AU63" s="145"/>
      <c r="AV63" s="145"/>
      <c r="AW63" s="145"/>
    </row>
    <row r="64" spans="1:55">
      <c r="M64" s="4"/>
      <c r="N64" s="4"/>
      <c r="O64" s="4"/>
      <c r="P64" s="4"/>
      <c r="AF64" s="4"/>
      <c r="AG64" s="4"/>
      <c r="AH64" s="4"/>
      <c r="AU64" s="4"/>
      <c r="AV64" s="4"/>
      <c r="AW64" s="4"/>
    </row>
    <row r="65" spans="13:49">
      <c r="M65" s="6"/>
      <c r="N65" s="6"/>
      <c r="O65" s="6"/>
      <c r="P65" s="6"/>
      <c r="AF65" s="6"/>
      <c r="AG65" s="6"/>
      <c r="AH65" s="6"/>
      <c r="AU65" s="6"/>
      <c r="AV65" s="6"/>
      <c r="AW65" s="6"/>
    </row>
    <row r="66" spans="13:49">
      <c r="M66" s="6"/>
      <c r="N66" s="6"/>
      <c r="O66" s="6"/>
      <c r="P66" s="6"/>
      <c r="AF66" s="6"/>
      <c r="AG66" s="6"/>
      <c r="AH66" s="6"/>
      <c r="AU66" s="6"/>
      <c r="AV66" s="6"/>
      <c r="AW66" s="6"/>
    </row>
    <row r="67" spans="13:49">
      <c r="M67" s="6"/>
      <c r="N67" s="6"/>
      <c r="O67" s="6"/>
      <c r="P67" s="6"/>
      <c r="AF67" s="6"/>
      <c r="AG67" s="6"/>
      <c r="AH67" s="6"/>
      <c r="AU67" s="6"/>
      <c r="AV67" s="6"/>
      <c r="AW67" s="6"/>
    </row>
    <row r="68" spans="13:49">
      <c r="M68" s="4"/>
      <c r="N68" s="4"/>
      <c r="O68" s="4"/>
      <c r="P68" s="4"/>
      <c r="AF68" s="4"/>
      <c r="AG68" s="4"/>
      <c r="AH68" s="4"/>
      <c r="AU68" s="4"/>
      <c r="AV68" s="4"/>
      <c r="AW68" s="4"/>
    </row>
    <row r="69" spans="13:49">
      <c r="M69" s="4"/>
      <c r="N69" s="4"/>
      <c r="O69" s="4"/>
      <c r="P69" s="4"/>
      <c r="AF69" s="4"/>
      <c r="AG69" s="4"/>
      <c r="AH69" s="4"/>
      <c r="AU69" s="4"/>
      <c r="AV69" s="4"/>
      <c r="AW69" s="4"/>
    </row>
    <row r="70" spans="13:49">
      <c r="M70" s="6"/>
      <c r="N70" s="6"/>
      <c r="O70" s="6"/>
      <c r="P70" s="6"/>
      <c r="AF70" s="6"/>
      <c r="AG70" s="6"/>
      <c r="AH70" s="6"/>
      <c r="AU70" s="6"/>
      <c r="AV70" s="6"/>
      <c r="AW70" s="6"/>
    </row>
    <row r="71" spans="13:49">
      <c r="M71" s="6"/>
      <c r="N71" s="6"/>
      <c r="O71" s="6"/>
      <c r="P71" s="6"/>
      <c r="AF71" s="6"/>
      <c r="AG71" s="6"/>
      <c r="AH71" s="6"/>
      <c r="AU71" s="6"/>
      <c r="AV71" s="6"/>
      <c r="AW71" s="6"/>
    </row>
    <row r="72" spans="13:49">
      <c r="M72" s="4"/>
      <c r="N72" s="4"/>
      <c r="O72" s="4"/>
      <c r="P72" s="4"/>
      <c r="AF72" s="4"/>
      <c r="AG72" s="4"/>
      <c r="AH72" s="4"/>
      <c r="AU72" s="4"/>
      <c r="AV72" s="4"/>
      <c r="AW72" s="4"/>
    </row>
    <row r="73" spans="13:49">
      <c r="M73" s="6"/>
      <c r="N73" s="6"/>
      <c r="O73" s="6"/>
      <c r="P73" s="6"/>
      <c r="AF73" s="6"/>
      <c r="AG73" s="6"/>
      <c r="AH73" s="6"/>
      <c r="AU73" s="6"/>
      <c r="AV73" s="6"/>
      <c r="AW73" s="6"/>
    </row>
    <row r="74" spans="13:49">
      <c r="M74" s="414"/>
      <c r="N74" s="414"/>
      <c r="O74" s="414"/>
      <c r="P74" s="414"/>
      <c r="AF74" s="414"/>
      <c r="AG74" s="414"/>
      <c r="AH74" s="414"/>
      <c r="AU74" s="414"/>
      <c r="AV74" s="414"/>
      <c r="AW74" s="414"/>
    </row>
    <row r="75" spans="13:49">
      <c r="M75" s="7"/>
      <c r="N75" s="7"/>
      <c r="O75" s="7"/>
      <c r="P75" s="7"/>
      <c r="AF75" s="7"/>
      <c r="AG75" s="7"/>
      <c r="AH75" s="7"/>
      <c r="AU75" s="7"/>
      <c r="AV75" s="7"/>
      <c r="AW75" s="7"/>
    </row>
    <row r="76" spans="13:49">
      <c r="M76" s="6"/>
      <c r="N76" s="6"/>
      <c r="O76" s="6"/>
      <c r="P76" s="6"/>
      <c r="AF76" s="6"/>
      <c r="AG76" s="6"/>
      <c r="AH76" s="6"/>
      <c r="AU76" s="6"/>
      <c r="AV76" s="6"/>
      <c r="AW76" s="6"/>
    </row>
    <row r="77" spans="13:49">
      <c r="M77" s="6"/>
      <c r="N77" s="6"/>
      <c r="O77" s="6"/>
      <c r="P77" s="6"/>
      <c r="AF77" s="6"/>
      <c r="AG77" s="6"/>
      <c r="AH77" s="6"/>
      <c r="AU77" s="6"/>
      <c r="AV77" s="6"/>
      <c r="AW77" s="6"/>
    </row>
    <row r="78" spans="13:49">
      <c r="M78" s="6"/>
      <c r="N78" s="6"/>
      <c r="O78" s="6"/>
      <c r="P78" s="6"/>
      <c r="AF78" s="6"/>
      <c r="AG78" s="6"/>
      <c r="AH78" s="6"/>
      <c r="AU78" s="6"/>
      <c r="AV78" s="6"/>
      <c r="AW78" s="6"/>
    </row>
    <row r="79" spans="13:49">
      <c r="M79" s="7"/>
      <c r="N79" s="7"/>
      <c r="O79" s="7"/>
      <c r="P79" s="7"/>
      <c r="AF79" s="7"/>
      <c r="AG79" s="7"/>
      <c r="AH79" s="7"/>
      <c r="AU79" s="7"/>
      <c r="AV79" s="7"/>
      <c r="AW79" s="7"/>
    </row>
    <row r="80" spans="13:49">
      <c r="M80" s="7"/>
      <c r="N80" s="7"/>
      <c r="O80" s="7"/>
      <c r="P80" s="7"/>
      <c r="AF80" s="7"/>
      <c r="AG80" s="7"/>
      <c r="AH80" s="7"/>
      <c r="AU80" s="7"/>
      <c r="AV80" s="7"/>
      <c r="AW80" s="7"/>
    </row>
    <row r="81" spans="13:49">
      <c r="M81" s="9"/>
      <c r="N81" s="9"/>
      <c r="O81" s="9"/>
      <c r="P81" s="9"/>
      <c r="AF81" s="9"/>
      <c r="AG81" s="9"/>
      <c r="AH81" s="9"/>
      <c r="AU81" s="9"/>
      <c r="AV81" s="9"/>
      <c r="AW81" s="9"/>
    </row>
  </sheetData>
  <phoneticPr fontId="52" type="noConversion"/>
  <pageMargins left="0.75" right="0.75" top="1" bottom="1" header="0.5" footer="0.5"/>
  <pageSetup scale="13" orientation="portrait" horizontalDpi="4294967292" verticalDpi="4294967292"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42"/>
  <sheetViews>
    <sheetView workbookViewId="0">
      <selection activeCell="E7" sqref="E7"/>
    </sheetView>
  </sheetViews>
  <sheetFormatPr defaultColWidth="11" defaultRowHeight="15.75"/>
  <cols>
    <col min="1" max="1" width="30.875" customWidth="1"/>
  </cols>
  <sheetData>
    <row r="1" spans="1:12">
      <c r="B1" s="436">
        <v>5113</v>
      </c>
      <c r="C1" s="436">
        <v>5796</v>
      </c>
      <c r="D1" s="436">
        <v>5887</v>
      </c>
      <c r="E1" s="436">
        <v>6225</v>
      </c>
      <c r="F1" s="436">
        <v>6730</v>
      </c>
      <c r="G1" s="436">
        <v>7026</v>
      </c>
      <c r="H1" s="436">
        <v>6907.9061153214443</v>
      </c>
    </row>
    <row r="3" spans="1:12">
      <c r="A3" s="10" t="s">
        <v>544</v>
      </c>
      <c r="B3" s="380"/>
      <c r="C3" s="380"/>
      <c r="D3" s="380"/>
      <c r="E3" s="380"/>
      <c r="F3" s="380"/>
      <c r="G3" s="380"/>
      <c r="H3" s="380"/>
    </row>
    <row r="4" spans="1:12">
      <c r="A4" s="380"/>
      <c r="B4" s="380"/>
      <c r="C4" s="380"/>
      <c r="D4" s="380"/>
      <c r="E4" s="380"/>
      <c r="F4" s="380"/>
      <c r="G4" s="380"/>
      <c r="H4" s="380"/>
      <c r="I4" s="1957" t="s">
        <v>1743</v>
      </c>
      <c r="J4" s="1957"/>
      <c r="K4" s="1957"/>
    </row>
    <row r="5" spans="1:12">
      <c r="A5" s="495">
        <v>18769</v>
      </c>
      <c r="B5" s="495" t="s">
        <v>0</v>
      </c>
      <c r="C5" s="495" t="s">
        <v>12</v>
      </c>
      <c r="D5" s="495" t="s">
        <v>545</v>
      </c>
      <c r="E5" s="495" t="s">
        <v>546</v>
      </c>
      <c r="F5" s="495" t="s">
        <v>826</v>
      </c>
      <c r="G5" s="495" t="s">
        <v>1639</v>
      </c>
      <c r="H5" s="495" t="s">
        <v>1640</v>
      </c>
      <c r="I5" s="1777" t="s">
        <v>1740</v>
      </c>
      <c r="J5" s="1777" t="s">
        <v>1741</v>
      </c>
      <c r="K5" s="1777" t="s">
        <v>1742</v>
      </c>
    </row>
    <row r="6" spans="1:12">
      <c r="A6" s="1690" t="s">
        <v>547</v>
      </c>
      <c r="B6" s="149"/>
      <c r="C6" s="148"/>
      <c r="D6" s="148"/>
      <c r="E6" s="148"/>
      <c r="F6" s="148"/>
      <c r="G6" s="148"/>
      <c r="H6" s="148"/>
    </row>
    <row r="7" spans="1:12">
      <c r="A7" s="1691" t="s">
        <v>513</v>
      </c>
      <c r="B7" s="496">
        <v>348</v>
      </c>
      <c r="C7" s="497">
        <v>435</v>
      </c>
      <c r="D7" s="509">
        <v>473</v>
      </c>
      <c r="E7" s="509">
        <v>504</v>
      </c>
      <c r="F7" s="509">
        <v>513</v>
      </c>
      <c r="G7" s="509">
        <v>445</v>
      </c>
      <c r="H7" s="1778">
        <v>471.58370025409954</v>
      </c>
      <c r="I7" s="508">
        <v>495</v>
      </c>
      <c r="J7" s="508">
        <v>472</v>
      </c>
      <c r="K7" s="508">
        <v>0</v>
      </c>
      <c r="L7" s="455">
        <f>J7-K7</f>
        <v>472</v>
      </c>
    </row>
    <row r="8" spans="1:12">
      <c r="A8" s="1691" t="s">
        <v>6</v>
      </c>
      <c r="B8" s="496">
        <v>637</v>
      </c>
      <c r="C8" s="497">
        <v>770</v>
      </c>
      <c r="D8" s="509">
        <v>697</v>
      </c>
      <c r="E8" s="509">
        <v>703</v>
      </c>
      <c r="F8" s="509">
        <v>674</v>
      </c>
      <c r="G8" s="509">
        <v>898</v>
      </c>
      <c r="H8" s="1778">
        <v>996.1821640510916</v>
      </c>
      <c r="I8" s="508">
        <v>1081</v>
      </c>
      <c r="J8" s="508">
        <v>967</v>
      </c>
      <c r="K8" s="508">
        <v>44</v>
      </c>
      <c r="L8" s="455">
        <f t="shared" ref="L8:L18" si="0">J8-K8</f>
        <v>923</v>
      </c>
    </row>
    <row r="9" spans="1:12">
      <c r="A9" s="1691" t="s">
        <v>8</v>
      </c>
      <c r="B9" s="496">
        <v>71</v>
      </c>
      <c r="C9" s="497">
        <v>68</v>
      </c>
      <c r="D9" s="509">
        <v>48</v>
      </c>
      <c r="E9" s="509">
        <v>46</v>
      </c>
      <c r="F9" s="509">
        <v>63</v>
      </c>
      <c r="G9" s="509">
        <v>73</v>
      </c>
      <c r="H9" s="1778">
        <v>71.228979086088771</v>
      </c>
      <c r="I9" s="508">
        <v>75</v>
      </c>
      <c r="J9" s="508">
        <v>77</v>
      </c>
      <c r="K9" s="508">
        <v>28</v>
      </c>
      <c r="L9" s="455">
        <f t="shared" si="0"/>
        <v>49</v>
      </c>
    </row>
    <row r="10" spans="1:12">
      <c r="A10" s="1691" t="s">
        <v>2</v>
      </c>
      <c r="B10" s="496">
        <v>145</v>
      </c>
      <c r="C10" s="497">
        <v>146</v>
      </c>
      <c r="D10" s="509">
        <v>146</v>
      </c>
      <c r="E10" s="509">
        <v>135</v>
      </c>
      <c r="F10" s="509">
        <v>138</v>
      </c>
      <c r="G10" s="509">
        <v>158</v>
      </c>
      <c r="H10" s="1778">
        <v>161.94073882697313</v>
      </c>
      <c r="I10" s="508">
        <v>209</v>
      </c>
      <c r="J10" s="508">
        <v>207</v>
      </c>
      <c r="K10" s="508">
        <v>40</v>
      </c>
      <c r="L10" s="455">
        <f t="shared" si="0"/>
        <v>167</v>
      </c>
    </row>
    <row r="11" spans="1:12">
      <c r="A11" s="1691" t="s">
        <v>10</v>
      </c>
      <c r="B11" s="496">
        <v>0</v>
      </c>
      <c r="C11" s="497">
        <v>0</v>
      </c>
      <c r="D11" s="432">
        <v>0</v>
      </c>
      <c r="E11" s="432">
        <v>0</v>
      </c>
      <c r="F11" s="432">
        <v>0</v>
      </c>
      <c r="G11" s="509">
        <v>0</v>
      </c>
      <c r="H11" s="1778">
        <v>0</v>
      </c>
      <c r="J11" s="508">
        <v>0</v>
      </c>
      <c r="L11" s="455">
        <f t="shared" si="0"/>
        <v>0</v>
      </c>
    </row>
    <row r="12" spans="1:12">
      <c r="A12" s="1691" t="s">
        <v>4</v>
      </c>
      <c r="B12" s="496">
        <v>451</v>
      </c>
      <c r="C12" s="497">
        <v>523</v>
      </c>
      <c r="D12" s="509">
        <v>534</v>
      </c>
      <c r="E12" s="509">
        <v>563</v>
      </c>
      <c r="F12" s="509">
        <v>560</v>
      </c>
      <c r="G12" s="509">
        <v>612</v>
      </c>
      <c r="H12" s="1778">
        <v>578.18856125828381</v>
      </c>
      <c r="I12" s="508">
        <v>572</v>
      </c>
      <c r="J12" s="508">
        <v>665</v>
      </c>
      <c r="K12" s="508">
        <v>23</v>
      </c>
      <c r="L12" s="455">
        <f t="shared" si="0"/>
        <v>642</v>
      </c>
    </row>
    <row r="13" spans="1:12">
      <c r="A13" s="1691" t="s">
        <v>14</v>
      </c>
      <c r="B13" s="496">
        <v>0</v>
      </c>
      <c r="C13" s="497">
        <v>0</v>
      </c>
      <c r="D13" s="432">
        <v>0</v>
      </c>
      <c r="E13" s="432">
        <v>0</v>
      </c>
      <c r="F13" s="432">
        <v>0</v>
      </c>
      <c r="G13" s="509">
        <v>0</v>
      </c>
      <c r="H13" s="1778">
        <v>0</v>
      </c>
      <c r="I13" s="508">
        <v>0</v>
      </c>
      <c r="J13" s="508">
        <v>0</v>
      </c>
      <c r="L13" s="455">
        <f t="shared" si="0"/>
        <v>0</v>
      </c>
    </row>
    <row r="14" spans="1:12">
      <c r="A14" s="1691" t="s">
        <v>17</v>
      </c>
      <c r="B14" s="496">
        <v>823</v>
      </c>
      <c r="C14" s="497">
        <v>880</v>
      </c>
      <c r="D14" s="509">
        <v>898</v>
      </c>
      <c r="E14" s="509">
        <v>916</v>
      </c>
      <c r="F14" s="509">
        <v>988</v>
      </c>
      <c r="G14" s="509">
        <v>1014</v>
      </c>
      <c r="H14" s="1778">
        <v>1032.4075316170522</v>
      </c>
      <c r="I14" s="508">
        <v>1046</v>
      </c>
      <c r="J14" s="508">
        <v>1116</v>
      </c>
      <c r="K14" s="508">
        <v>55</v>
      </c>
      <c r="L14" s="455">
        <f t="shared" si="0"/>
        <v>1061</v>
      </c>
    </row>
    <row r="15" spans="1:12">
      <c r="A15" s="1691" t="s">
        <v>316</v>
      </c>
      <c r="B15" s="496">
        <v>0</v>
      </c>
      <c r="C15" s="497">
        <v>0</v>
      </c>
      <c r="D15" s="432">
        <v>0</v>
      </c>
      <c r="E15" s="432">
        <v>0</v>
      </c>
      <c r="F15" s="432">
        <v>0</v>
      </c>
      <c r="G15" s="509">
        <v>0</v>
      </c>
      <c r="H15" s="1778">
        <v>0</v>
      </c>
      <c r="J15" s="508">
        <v>0</v>
      </c>
      <c r="L15" s="455">
        <f t="shared" si="0"/>
        <v>0</v>
      </c>
    </row>
    <row r="16" spans="1:12">
      <c r="A16" s="1691" t="s">
        <v>7</v>
      </c>
      <c r="B16" s="496">
        <v>668</v>
      </c>
      <c r="C16" s="497">
        <v>822</v>
      </c>
      <c r="D16" s="509">
        <v>907</v>
      </c>
      <c r="E16" s="509">
        <v>1031</v>
      </c>
      <c r="F16" s="509">
        <v>1310</v>
      </c>
      <c r="G16" s="509">
        <v>1452</v>
      </c>
      <c r="H16" s="1778">
        <v>1519.4988082770126</v>
      </c>
      <c r="I16" s="508">
        <v>1665</v>
      </c>
      <c r="J16" s="508">
        <v>1534</v>
      </c>
      <c r="K16" s="508">
        <v>28</v>
      </c>
      <c r="L16" s="455">
        <f t="shared" si="0"/>
        <v>1506</v>
      </c>
    </row>
    <row r="17" spans="1:12">
      <c r="A17" s="1691" t="s">
        <v>514</v>
      </c>
      <c r="B17" s="496">
        <v>690</v>
      </c>
      <c r="C17" s="497">
        <v>729</v>
      </c>
      <c r="D17" s="509">
        <v>739</v>
      </c>
      <c r="E17" s="509">
        <v>826</v>
      </c>
      <c r="F17" s="509">
        <v>823</v>
      </c>
      <c r="G17" s="509">
        <v>746</v>
      </c>
      <c r="H17" s="1778">
        <v>698.59971700429071</v>
      </c>
      <c r="I17" s="508">
        <v>769</v>
      </c>
      <c r="J17" s="508">
        <v>842</v>
      </c>
      <c r="K17" s="508">
        <v>75</v>
      </c>
      <c r="L17" s="455">
        <f t="shared" si="0"/>
        <v>767</v>
      </c>
    </row>
    <row r="18" spans="1:12">
      <c r="A18" s="1691" t="s">
        <v>515</v>
      </c>
      <c r="B18" s="496">
        <v>133</v>
      </c>
      <c r="C18" s="497">
        <v>115</v>
      </c>
      <c r="D18" s="509">
        <v>111</v>
      </c>
      <c r="E18" s="509">
        <v>119</v>
      </c>
      <c r="F18" s="509">
        <v>108</v>
      </c>
      <c r="G18" s="509">
        <v>105</v>
      </c>
      <c r="H18" s="1778">
        <v>120.45679441696566</v>
      </c>
      <c r="I18" s="508">
        <v>108</v>
      </c>
      <c r="J18" s="508">
        <v>108</v>
      </c>
      <c r="L18" s="455">
        <f t="shared" si="0"/>
        <v>108</v>
      </c>
    </row>
    <row r="19" spans="1:12">
      <c r="A19" s="1691"/>
      <c r="B19" s="149"/>
      <c r="C19" s="148"/>
      <c r="D19" s="432"/>
      <c r="E19" s="432"/>
      <c r="F19" s="432"/>
      <c r="G19" s="432"/>
      <c r="H19" s="432"/>
    </row>
    <row r="20" spans="1:12">
      <c r="A20" s="1691" t="s">
        <v>516</v>
      </c>
      <c r="B20" s="149"/>
      <c r="C20" s="148"/>
      <c r="D20" s="432"/>
      <c r="E20" s="432"/>
      <c r="F20" s="432"/>
      <c r="G20" s="432"/>
      <c r="H20" s="432"/>
    </row>
    <row r="21" spans="1:12">
      <c r="A21" s="1691" t="s">
        <v>1641</v>
      </c>
      <c r="B21" s="149"/>
      <c r="C21" s="148"/>
      <c r="D21" s="432"/>
      <c r="E21" s="432"/>
      <c r="F21" s="432"/>
      <c r="G21" s="432"/>
      <c r="H21" s="432"/>
    </row>
    <row r="22" spans="1:12">
      <c r="A22" s="1691" t="s">
        <v>518</v>
      </c>
      <c r="B22" s="455">
        <v>101</v>
      </c>
      <c r="C22" s="455">
        <v>180</v>
      </c>
      <c r="D22" s="509">
        <v>171</v>
      </c>
      <c r="E22" s="509">
        <v>182</v>
      </c>
      <c r="F22" s="509">
        <v>135</v>
      </c>
      <c r="G22" s="509">
        <v>176</v>
      </c>
      <c r="H22" s="1692">
        <v>185.46211033520794</v>
      </c>
      <c r="J22" s="508">
        <v>183</v>
      </c>
      <c r="L22" s="455">
        <f>J22-K22</f>
        <v>183</v>
      </c>
    </row>
    <row r="23" spans="1:12">
      <c r="A23" s="1691" t="s">
        <v>1642</v>
      </c>
      <c r="B23" s="149"/>
      <c r="C23" s="148"/>
      <c r="D23" s="148"/>
      <c r="E23" s="148"/>
      <c r="F23" s="148"/>
      <c r="G23" s="148"/>
      <c r="H23" s="148"/>
    </row>
    <row r="24" spans="1:12">
      <c r="A24" s="1691" t="s">
        <v>520</v>
      </c>
      <c r="B24" s="149"/>
      <c r="C24" s="148"/>
      <c r="D24" s="148"/>
      <c r="E24" s="148"/>
      <c r="F24" s="148"/>
      <c r="G24" s="148"/>
      <c r="H24" s="148"/>
    </row>
    <row r="25" spans="1:12">
      <c r="A25" s="149"/>
      <c r="B25" s="496">
        <v>4067</v>
      </c>
      <c r="C25" s="496">
        <v>4668</v>
      </c>
      <c r="D25" s="496">
        <v>4724</v>
      </c>
      <c r="E25" s="496">
        <v>5025</v>
      </c>
      <c r="F25" s="496">
        <v>5312</v>
      </c>
      <c r="G25" s="1693">
        <v>5679</v>
      </c>
      <c r="H25" s="1693">
        <v>5601.9061153214443</v>
      </c>
      <c r="I25" s="496">
        <v>6020</v>
      </c>
    </row>
    <row r="26" spans="1:12">
      <c r="A26" s="42"/>
      <c r="B26" s="42"/>
      <c r="G26" s="1204">
        <v>5988</v>
      </c>
    </row>
    <row r="27" spans="1:12">
      <c r="A27" s="42"/>
      <c r="B27" s="42"/>
    </row>
    <row r="28" spans="1:12">
      <c r="A28" s="42"/>
      <c r="B28" s="42"/>
    </row>
    <row r="29" spans="1:12">
      <c r="A29" s="42"/>
      <c r="B29" s="42"/>
    </row>
    <row r="30" spans="1:12">
      <c r="A30" s="1690" t="s">
        <v>1643</v>
      </c>
      <c r="B30" s="149"/>
      <c r="C30" s="148"/>
      <c r="D30" s="148"/>
      <c r="E30" s="148"/>
      <c r="F30" s="148"/>
      <c r="G30" s="497"/>
      <c r="H30" s="148"/>
    </row>
    <row r="31" spans="1:12">
      <c r="A31" s="1691" t="s">
        <v>513</v>
      </c>
      <c r="B31" s="496">
        <v>20</v>
      </c>
      <c r="C31" s="497">
        <v>20</v>
      </c>
      <c r="D31" s="509">
        <v>20</v>
      </c>
      <c r="E31" s="509">
        <v>22</v>
      </c>
      <c r="F31" s="509">
        <v>44</v>
      </c>
      <c r="G31" s="509">
        <v>27</v>
      </c>
      <c r="H31" s="1692">
        <v>33</v>
      </c>
    </row>
    <row r="32" spans="1:12">
      <c r="A32" s="1691" t="s">
        <v>6</v>
      </c>
      <c r="B32" s="496">
        <v>2</v>
      </c>
      <c r="C32" s="497">
        <v>4</v>
      </c>
      <c r="D32" s="509">
        <v>4</v>
      </c>
      <c r="E32" s="509">
        <v>1</v>
      </c>
      <c r="F32" s="509">
        <v>6</v>
      </c>
      <c r="G32" s="509">
        <v>1</v>
      </c>
      <c r="H32" s="1692">
        <v>3</v>
      </c>
    </row>
    <row r="33" spans="1:8">
      <c r="A33" s="1691" t="s">
        <v>8</v>
      </c>
      <c r="B33" s="496">
        <v>25</v>
      </c>
      <c r="C33" s="497">
        <v>16</v>
      </c>
      <c r="D33" s="509">
        <v>27</v>
      </c>
      <c r="E33" s="509">
        <v>32</v>
      </c>
      <c r="F33" s="509">
        <v>22</v>
      </c>
      <c r="G33" s="509">
        <v>21</v>
      </c>
      <c r="H33" s="1692">
        <v>23</v>
      </c>
    </row>
    <row r="34" spans="1:8">
      <c r="A34" s="1691" t="s">
        <v>2</v>
      </c>
      <c r="B34" s="496">
        <v>10</v>
      </c>
      <c r="C34" s="497">
        <v>6</v>
      </c>
      <c r="D34" s="509">
        <v>11</v>
      </c>
      <c r="E34" s="509">
        <v>11</v>
      </c>
      <c r="F34" s="509">
        <v>10</v>
      </c>
      <c r="G34" s="509">
        <v>12</v>
      </c>
      <c r="H34" s="1692">
        <v>12</v>
      </c>
    </row>
    <row r="35" spans="1:8">
      <c r="A35" s="1691" t="s">
        <v>10</v>
      </c>
      <c r="B35" s="496">
        <v>7</v>
      </c>
      <c r="C35" s="497">
        <v>4</v>
      </c>
      <c r="D35" s="509">
        <v>4</v>
      </c>
      <c r="E35" s="509">
        <v>3</v>
      </c>
      <c r="F35" s="509">
        <v>5</v>
      </c>
      <c r="G35" s="509">
        <v>6</v>
      </c>
      <c r="H35" s="1692">
        <v>5</v>
      </c>
    </row>
    <row r="36" spans="1:8">
      <c r="A36" s="1691" t="s">
        <v>4</v>
      </c>
      <c r="B36" s="496">
        <v>42</v>
      </c>
      <c r="C36" s="497">
        <v>29</v>
      </c>
      <c r="D36" s="509">
        <v>37</v>
      </c>
      <c r="E36" s="509">
        <v>40</v>
      </c>
      <c r="F36" s="509">
        <v>55</v>
      </c>
      <c r="G36" s="509">
        <v>58</v>
      </c>
      <c r="H36" s="1692">
        <v>55</v>
      </c>
    </row>
    <row r="37" spans="1:8">
      <c r="A37" s="1691" t="s">
        <v>14</v>
      </c>
      <c r="B37" s="496">
        <v>20</v>
      </c>
      <c r="C37" s="497">
        <v>19</v>
      </c>
      <c r="D37" s="509">
        <v>15</v>
      </c>
      <c r="E37" s="509">
        <v>16</v>
      </c>
      <c r="F37" s="509">
        <v>13</v>
      </c>
      <c r="G37" s="509">
        <v>14</v>
      </c>
      <c r="H37" s="1692">
        <v>13</v>
      </c>
    </row>
    <row r="38" spans="1:8">
      <c r="A38" s="1691" t="s">
        <v>17</v>
      </c>
      <c r="B38" s="496">
        <v>2</v>
      </c>
      <c r="C38" s="497">
        <v>1</v>
      </c>
      <c r="D38" s="509">
        <v>4</v>
      </c>
      <c r="E38" s="509">
        <v>4</v>
      </c>
      <c r="F38" s="509">
        <v>4</v>
      </c>
      <c r="G38" s="509">
        <v>5</v>
      </c>
      <c r="H38" s="1692">
        <v>6</v>
      </c>
    </row>
    <row r="39" spans="1:8">
      <c r="A39" s="1691" t="s">
        <v>316</v>
      </c>
      <c r="B39" s="496">
        <v>0</v>
      </c>
      <c r="C39" s="497">
        <v>0</v>
      </c>
      <c r="D39" s="432">
        <v>0</v>
      </c>
      <c r="E39" s="432">
        <v>0</v>
      </c>
      <c r="F39" s="432">
        <v>0</v>
      </c>
      <c r="G39" s="509">
        <v>0</v>
      </c>
      <c r="H39" s="1692">
        <v>0</v>
      </c>
    </row>
    <row r="40" spans="1:8">
      <c r="A40" s="1691" t="s">
        <v>7</v>
      </c>
      <c r="B40" s="496">
        <v>60</v>
      </c>
      <c r="C40" s="497">
        <v>67</v>
      </c>
      <c r="D40" s="509">
        <v>58</v>
      </c>
      <c r="E40" s="509">
        <v>46</v>
      </c>
      <c r="F40" s="509">
        <v>75</v>
      </c>
      <c r="G40" s="509">
        <v>74</v>
      </c>
      <c r="H40" s="1692">
        <v>80</v>
      </c>
    </row>
    <row r="41" spans="1:8">
      <c r="A41" s="1691" t="s">
        <v>514</v>
      </c>
      <c r="B41" s="496">
        <v>18</v>
      </c>
      <c r="C41" s="497">
        <v>14</v>
      </c>
      <c r="D41" s="509">
        <v>16</v>
      </c>
      <c r="E41" s="509">
        <v>22</v>
      </c>
      <c r="F41" s="509">
        <v>23</v>
      </c>
      <c r="G41" s="509">
        <v>10</v>
      </c>
      <c r="H41" s="1692">
        <v>15</v>
      </c>
    </row>
    <row r="42" spans="1:8">
      <c r="A42" s="1691" t="s">
        <v>515</v>
      </c>
      <c r="B42" s="496">
        <v>7</v>
      </c>
      <c r="C42" s="497">
        <v>16</v>
      </c>
      <c r="D42" s="509">
        <v>15</v>
      </c>
      <c r="E42" s="509">
        <v>15</v>
      </c>
      <c r="F42" s="509">
        <v>15</v>
      </c>
      <c r="G42" s="509">
        <v>14</v>
      </c>
      <c r="H42" s="1692">
        <v>14</v>
      </c>
    </row>
    <row r="43" spans="1:8">
      <c r="A43" s="1691"/>
      <c r="B43" s="149"/>
      <c r="C43" s="148"/>
      <c r="D43" s="148"/>
      <c r="E43" s="148"/>
      <c r="F43" s="148"/>
      <c r="G43" s="432"/>
      <c r="H43" s="148"/>
    </row>
    <row r="44" spans="1:8">
      <c r="A44" s="1691" t="s">
        <v>516</v>
      </c>
      <c r="B44" s="149"/>
      <c r="C44" s="148"/>
      <c r="D44" s="148"/>
      <c r="E44" s="148"/>
      <c r="F44" s="148"/>
      <c r="G44" s="432"/>
      <c r="H44" s="148"/>
    </row>
    <row r="45" spans="1:8">
      <c r="A45" s="1691" t="s">
        <v>1641</v>
      </c>
      <c r="B45" s="149"/>
      <c r="C45" s="148"/>
      <c r="D45" s="148"/>
      <c r="E45" s="148"/>
      <c r="F45" s="148"/>
      <c r="G45" s="432"/>
      <c r="H45" s="148"/>
    </row>
    <row r="46" spans="1:8">
      <c r="A46" s="1691" t="s">
        <v>518</v>
      </c>
      <c r="B46" s="149"/>
      <c r="C46" s="148"/>
      <c r="D46" s="148"/>
      <c r="E46" s="148"/>
      <c r="F46" s="148"/>
      <c r="G46" s="1694"/>
      <c r="H46" s="148"/>
    </row>
    <row r="47" spans="1:8">
      <c r="A47" s="1691" t="s">
        <v>1642</v>
      </c>
      <c r="B47" s="149"/>
      <c r="C47" s="148"/>
      <c r="D47" s="148"/>
      <c r="E47" s="148"/>
      <c r="F47" s="148"/>
      <c r="G47" s="148"/>
      <c r="H47" s="148"/>
    </row>
    <row r="48" spans="1:8">
      <c r="A48" s="1691" t="s">
        <v>520</v>
      </c>
      <c r="B48" s="149"/>
      <c r="C48" s="148"/>
      <c r="D48" s="148"/>
      <c r="E48" s="148"/>
      <c r="F48" s="148"/>
      <c r="G48" s="148"/>
      <c r="H48" s="148"/>
    </row>
    <row r="49" spans="1:9">
      <c r="A49" s="42"/>
      <c r="B49" s="496">
        <v>213</v>
      </c>
      <c r="C49" s="496">
        <v>196</v>
      </c>
      <c r="D49" s="496">
        <v>211</v>
      </c>
      <c r="E49" s="496">
        <v>212</v>
      </c>
      <c r="F49" s="496">
        <v>272</v>
      </c>
      <c r="G49" s="1693">
        <v>242</v>
      </c>
      <c r="H49" s="1693">
        <v>259</v>
      </c>
      <c r="I49" s="496">
        <v>335</v>
      </c>
    </row>
    <row r="50" spans="1:9">
      <c r="A50" s="42"/>
      <c r="B50" s="42"/>
      <c r="G50" s="1204"/>
    </row>
    <row r="51" spans="1:9">
      <c r="A51" s="42"/>
      <c r="B51" s="42"/>
    </row>
    <row r="52" spans="1:9">
      <c r="A52" s="42"/>
      <c r="B52" s="42"/>
    </row>
    <row r="53" spans="1:9">
      <c r="A53" s="1690" t="s">
        <v>1644</v>
      </c>
      <c r="B53" s="149"/>
      <c r="C53" s="148"/>
      <c r="D53" s="148"/>
      <c r="E53" s="148"/>
      <c r="F53" s="148"/>
      <c r="G53" s="148"/>
      <c r="H53" s="148"/>
    </row>
    <row r="54" spans="1:9">
      <c r="A54" s="1691" t="s">
        <v>513</v>
      </c>
      <c r="B54" s="496">
        <v>64</v>
      </c>
      <c r="C54" s="497">
        <v>63</v>
      </c>
      <c r="D54" s="508">
        <v>87</v>
      </c>
      <c r="E54" s="508">
        <v>73</v>
      </c>
      <c r="F54" s="508">
        <v>75</v>
      </c>
      <c r="G54" s="509">
        <v>46</v>
      </c>
      <c r="H54" s="1692">
        <v>61</v>
      </c>
    </row>
    <row r="55" spans="1:9">
      <c r="A55" s="1691" t="s">
        <v>6</v>
      </c>
      <c r="B55" s="496">
        <v>76</v>
      </c>
      <c r="C55" s="497">
        <v>85</v>
      </c>
      <c r="D55" s="508">
        <v>88</v>
      </c>
      <c r="E55" s="508">
        <v>100</v>
      </c>
      <c r="F55" s="508">
        <v>112</v>
      </c>
      <c r="G55" s="509">
        <v>90</v>
      </c>
      <c r="H55" s="1692">
        <v>85</v>
      </c>
    </row>
    <row r="56" spans="1:9">
      <c r="A56" s="1691" t="s">
        <v>8</v>
      </c>
      <c r="B56" s="496">
        <v>73</v>
      </c>
      <c r="C56" s="497">
        <v>66</v>
      </c>
      <c r="D56" s="508">
        <v>74</v>
      </c>
      <c r="E56" s="508">
        <v>73</v>
      </c>
      <c r="F56" s="508">
        <v>72</v>
      </c>
      <c r="G56" s="509">
        <v>78</v>
      </c>
      <c r="H56" s="1692">
        <v>70</v>
      </c>
    </row>
    <row r="57" spans="1:9">
      <c r="A57" s="1691" t="s">
        <v>2</v>
      </c>
      <c r="B57" s="496">
        <v>28</v>
      </c>
      <c r="C57" s="497">
        <v>47</v>
      </c>
      <c r="D57" s="508">
        <v>45</v>
      </c>
      <c r="E57" s="508">
        <v>40</v>
      </c>
      <c r="F57" s="508">
        <v>52</v>
      </c>
      <c r="G57" s="509">
        <v>50</v>
      </c>
      <c r="H57" s="1692">
        <v>52</v>
      </c>
    </row>
    <row r="58" spans="1:9">
      <c r="A58" s="1691" t="s">
        <v>10</v>
      </c>
      <c r="B58" s="496">
        <v>88</v>
      </c>
      <c r="C58" s="497">
        <v>94</v>
      </c>
      <c r="D58" s="508">
        <v>83</v>
      </c>
      <c r="E58" s="508">
        <v>95</v>
      </c>
      <c r="F58" s="508">
        <v>77</v>
      </c>
      <c r="G58" s="509">
        <v>81</v>
      </c>
      <c r="H58" s="1692">
        <v>82</v>
      </c>
      <c r="I58" s="508">
        <v>95</v>
      </c>
    </row>
    <row r="59" spans="1:9">
      <c r="A59" s="1691" t="s">
        <v>4</v>
      </c>
      <c r="B59" s="496">
        <v>60</v>
      </c>
      <c r="C59" s="497">
        <v>60</v>
      </c>
      <c r="D59" s="508">
        <v>48</v>
      </c>
      <c r="E59" s="508">
        <v>45</v>
      </c>
      <c r="F59" s="508">
        <v>56</v>
      </c>
      <c r="G59" s="509">
        <v>47</v>
      </c>
      <c r="H59" s="1692">
        <v>61</v>
      </c>
    </row>
    <row r="60" spans="1:9">
      <c r="A60" s="1691" t="s">
        <v>14</v>
      </c>
      <c r="B60" s="496">
        <v>49</v>
      </c>
      <c r="C60" s="497">
        <v>62</v>
      </c>
      <c r="D60" s="508">
        <v>49</v>
      </c>
      <c r="E60" s="508">
        <v>37</v>
      </c>
      <c r="F60" s="508">
        <v>46</v>
      </c>
      <c r="G60" s="509">
        <v>42</v>
      </c>
      <c r="H60" s="1692">
        <v>40</v>
      </c>
    </row>
    <row r="61" spans="1:9">
      <c r="A61" s="1691" t="s">
        <v>17</v>
      </c>
      <c r="B61" s="496">
        <v>62</v>
      </c>
      <c r="C61" s="497">
        <v>71</v>
      </c>
      <c r="D61" s="508">
        <v>78</v>
      </c>
      <c r="E61" s="508">
        <v>72</v>
      </c>
      <c r="F61" s="508">
        <v>72</v>
      </c>
      <c r="G61" s="509">
        <v>75</v>
      </c>
      <c r="H61" s="1692">
        <v>75</v>
      </c>
    </row>
    <row r="62" spans="1:9">
      <c r="A62" s="1691" t="s">
        <v>316</v>
      </c>
      <c r="B62" s="496">
        <v>57</v>
      </c>
      <c r="C62" s="497">
        <v>58</v>
      </c>
      <c r="D62" s="508">
        <v>63</v>
      </c>
      <c r="E62" s="508">
        <v>61</v>
      </c>
      <c r="F62" s="508">
        <v>55</v>
      </c>
      <c r="G62" s="509">
        <v>56</v>
      </c>
      <c r="H62" s="1692">
        <v>58</v>
      </c>
      <c r="I62" s="508">
        <v>57</v>
      </c>
    </row>
    <row r="63" spans="1:9">
      <c r="A63" s="1691" t="s">
        <v>7</v>
      </c>
      <c r="B63" s="496">
        <v>186</v>
      </c>
      <c r="C63" s="497">
        <v>231</v>
      </c>
      <c r="D63" s="508">
        <v>233</v>
      </c>
      <c r="E63" s="508">
        <v>291</v>
      </c>
      <c r="F63" s="508">
        <v>342</v>
      </c>
      <c r="G63" s="509">
        <v>309</v>
      </c>
      <c r="H63" s="1692">
        <v>308</v>
      </c>
    </row>
    <row r="64" spans="1:9">
      <c r="A64" s="1691" t="s">
        <v>514</v>
      </c>
      <c r="B64" s="496">
        <v>64</v>
      </c>
      <c r="C64" s="497">
        <v>68</v>
      </c>
      <c r="D64" s="508">
        <v>78</v>
      </c>
      <c r="E64" s="508">
        <v>69</v>
      </c>
      <c r="F64" s="508">
        <v>59</v>
      </c>
      <c r="G64" s="509">
        <v>86</v>
      </c>
      <c r="H64" s="1692">
        <v>72</v>
      </c>
    </row>
    <row r="65" spans="1:9">
      <c r="A65" s="1691" t="s">
        <v>515</v>
      </c>
      <c r="B65" s="496">
        <v>26</v>
      </c>
      <c r="C65" s="497">
        <v>27</v>
      </c>
      <c r="D65" s="508">
        <v>26</v>
      </c>
      <c r="E65" s="508">
        <v>32</v>
      </c>
      <c r="F65" s="508">
        <v>22</v>
      </c>
      <c r="G65" s="509">
        <v>21</v>
      </c>
      <c r="H65" s="1692">
        <v>25</v>
      </c>
    </row>
    <row r="66" spans="1:9">
      <c r="A66" s="1691"/>
      <c r="B66" s="149"/>
      <c r="C66" s="148"/>
      <c r="D66" s="148"/>
      <c r="E66" s="148"/>
      <c r="F66" s="148"/>
      <c r="G66" s="432"/>
      <c r="H66" s="148"/>
    </row>
    <row r="67" spans="1:9">
      <c r="A67" s="1691" t="s">
        <v>516</v>
      </c>
      <c r="B67" s="149"/>
      <c r="C67" s="148"/>
      <c r="D67" s="148"/>
      <c r="E67" s="148"/>
      <c r="F67" s="148"/>
      <c r="G67" s="432"/>
      <c r="H67" s="148"/>
    </row>
    <row r="68" spans="1:9">
      <c r="A68" s="1691" t="s">
        <v>1641</v>
      </c>
      <c r="B68" s="149"/>
      <c r="C68" s="148"/>
      <c r="D68" s="148"/>
      <c r="E68" s="148"/>
      <c r="F68" s="148"/>
      <c r="G68" s="432"/>
      <c r="H68" s="148"/>
    </row>
    <row r="69" spans="1:9">
      <c r="A69" s="1691" t="s">
        <v>518</v>
      </c>
      <c r="B69" s="149"/>
      <c r="C69" s="148"/>
      <c r="D69" s="148"/>
      <c r="E69" s="148"/>
      <c r="F69" s="148"/>
      <c r="G69" s="1694"/>
      <c r="H69" s="148"/>
    </row>
    <row r="70" spans="1:9">
      <c r="A70" s="1691" t="s">
        <v>1642</v>
      </c>
      <c r="B70" s="149"/>
      <c r="C70" s="148"/>
      <c r="D70" s="148"/>
      <c r="E70" s="148"/>
      <c r="F70" s="148"/>
      <c r="G70" s="148"/>
      <c r="H70" s="148"/>
    </row>
    <row r="71" spans="1:9">
      <c r="A71" s="1691" t="s">
        <v>520</v>
      </c>
      <c r="B71" s="149"/>
      <c r="C71" s="148"/>
      <c r="D71" s="148"/>
      <c r="E71" s="148"/>
      <c r="F71" s="148"/>
      <c r="G71" s="148"/>
      <c r="H71" s="148"/>
    </row>
    <row r="72" spans="1:9">
      <c r="A72" s="1695"/>
      <c r="B72" s="149"/>
      <c r="C72" s="148"/>
      <c r="D72" s="148"/>
      <c r="E72" s="148"/>
      <c r="F72" s="148"/>
      <c r="G72" s="1694"/>
      <c r="H72" s="148"/>
    </row>
    <row r="73" spans="1:9">
      <c r="A73" s="42"/>
      <c r="B73" s="496">
        <v>833</v>
      </c>
      <c r="C73" s="496">
        <v>932</v>
      </c>
      <c r="D73" s="496">
        <v>952</v>
      </c>
      <c r="E73" s="496">
        <v>988</v>
      </c>
      <c r="F73" s="496">
        <v>1040</v>
      </c>
      <c r="G73" s="496">
        <v>981</v>
      </c>
      <c r="H73" s="1693">
        <v>928</v>
      </c>
      <c r="I73" s="496">
        <v>985</v>
      </c>
    </row>
    <row r="74" spans="1:9">
      <c r="A74" s="42"/>
      <c r="B74" s="42"/>
      <c r="G74" s="1204"/>
    </row>
    <row r="75" spans="1:9">
      <c r="A75" s="42"/>
      <c r="B75" s="42"/>
    </row>
    <row r="76" spans="1:9">
      <c r="A76" s="1690" t="s">
        <v>1645</v>
      </c>
      <c r="B76" s="149"/>
      <c r="C76" s="148"/>
      <c r="D76" s="148"/>
      <c r="E76" s="148"/>
      <c r="F76" s="148"/>
      <c r="G76" s="148"/>
      <c r="H76" s="148"/>
    </row>
    <row r="77" spans="1:9">
      <c r="A77" s="1691" t="s">
        <v>513</v>
      </c>
      <c r="B77" s="496"/>
      <c r="C77" s="497"/>
      <c r="D77" s="455"/>
      <c r="E77" s="455"/>
      <c r="F77" s="455">
        <v>19</v>
      </c>
      <c r="G77" s="1525">
        <v>21</v>
      </c>
      <c r="H77" s="1692">
        <v>20</v>
      </c>
    </row>
    <row r="78" spans="1:9">
      <c r="A78" s="1691" t="s">
        <v>6</v>
      </c>
      <c r="B78" s="496"/>
      <c r="C78" s="497"/>
      <c r="D78" s="455"/>
      <c r="E78" s="455"/>
      <c r="F78" s="455">
        <v>5</v>
      </c>
      <c r="G78" s="1525">
        <v>3</v>
      </c>
      <c r="H78" s="1692">
        <v>4</v>
      </c>
    </row>
    <row r="79" spans="1:9">
      <c r="A79" s="1691" t="s">
        <v>8</v>
      </c>
      <c r="B79" s="496"/>
      <c r="C79" s="497"/>
      <c r="F79">
        <v>0</v>
      </c>
      <c r="G79" s="1525">
        <v>0</v>
      </c>
      <c r="H79" s="1692">
        <v>0</v>
      </c>
    </row>
    <row r="80" spans="1:9">
      <c r="A80" s="1691" t="s">
        <v>2</v>
      </c>
      <c r="B80" s="496"/>
      <c r="C80" s="497"/>
      <c r="D80" s="455"/>
      <c r="E80" s="455"/>
      <c r="F80" s="455">
        <v>19</v>
      </c>
      <c r="G80" s="1525">
        <v>26</v>
      </c>
      <c r="H80" s="1692">
        <v>23</v>
      </c>
    </row>
    <row r="81" spans="1:8">
      <c r="A81" s="1691" t="s">
        <v>10</v>
      </c>
      <c r="B81" s="496"/>
      <c r="C81" s="497"/>
      <c r="F81">
        <v>0</v>
      </c>
      <c r="G81" s="1525">
        <v>0</v>
      </c>
      <c r="H81" s="1692">
        <v>0</v>
      </c>
    </row>
    <row r="82" spans="1:8">
      <c r="A82" s="1691" t="s">
        <v>4</v>
      </c>
      <c r="B82" s="496"/>
      <c r="C82" s="497"/>
      <c r="D82" s="455"/>
      <c r="E82" s="455"/>
      <c r="F82" s="455">
        <v>0</v>
      </c>
      <c r="G82" s="1525">
        <v>2</v>
      </c>
      <c r="H82" s="1692">
        <v>1</v>
      </c>
    </row>
    <row r="83" spans="1:8">
      <c r="A83" s="1691" t="s">
        <v>14</v>
      </c>
      <c r="B83" s="496"/>
      <c r="C83" s="497"/>
      <c r="D83" s="455"/>
      <c r="E83" s="455"/>
      <c r="F83" s="455">
        <v>25</v>
      </c>
      <c r="G83" s="1525">
        <v>23</v>
      </c>
      <c r="H83" s="1692">
        <v>24</v>
      </c>
    </row>
    <row r="84" spans="1:8">
      <c r="A84" s="1691" t="s">
        <v>17</v>
      </c>
      <c r="B84" s="496"/>
      <c r="C84" s="497"/>
      <c r="D84" s="455"/>
      <c r="E84" s="455"/>
      <c r="F84">
        <v>0</v>
      </c>
      <c r="G84" s="1525">
        <v>0</v>
      </c>
      <c r="H84" s="1692">
        <v>0</v>
      </c>
    </row>
    <row r="85" spans="1:8">
      <c r="A85" s="1691" t="s">
        <v>316</v>
      </c>
      <c r="B85" s="496"/>
      <c r="C85" s="497"/>
      <c r="F85">
        <v>0</v>
      </c>
      <c r="G85" s="1525">
        <v>0</v>
      </c>
      <c r="H85" s="1692">
        <v>0</v>
      </c>
    </row>
    <row r="86" spans="1:8">
      <c r="A86" s="1691" t="s">
        <v>7</v>
      </c>
      <c r="B86" s="496"/>
      <c r="C86" s="497"/>
      <c r="F86">
        <v>0</v>
      </c>
      <c r="G86" s="1525">
        <v>0</v>
      </c>
      <c r="H86" s="1692">
        <v>0</v>
      </c>
    </row>
    <row r="87" spans="1:8">
      <c r="A87" s="1691" t="s">
        <v>514</v>
      </c>
      <c r="B87" s="496"/>
      <c r="C87" s="497"/>
      <c r="D87" s="455"/>
      <c r="E87" s="455"/>
      <c r="F87" s="455">
        <v>2</v>
      </c>
      <c r="G87" s="1525">
        <v>12</v>
      </c>
      <c r="H87" s="1692">
        <v>5</v>
      </c>
    </row>
    <row r="88" spans="1:8">
      <c r="A88" s="1691" t="s">
        <v>515</v>
      </c>
      <c r="B88" s="496"/>
      <c r="C88" s="497"/>
      <c r="D88" s="455"/>
      <c r="E88" s="455"/>
      <c r="F88" s="455">
        <v>36</v>
      </c>
      <c r="G88" s="1525">
        <v>37</v>
      </c>
      <c r="H88" s="1692">
        <v>42</v>
      </c>
    </row>
    <row r="89" spans="1:8">
      <c r="A89" s="1691"/>
      <c r="B89" s="149"/>
      <c r="C89" s="148"/>
      <c r="D89" s="148"/>
      <c r="E89" s="148"/>
      <c r="F89" s="148"/>
      <c r="G89" s="148"/>
      <c r="H89" s="148"/>
    </row>
    <row r="90" spans="1:8">
      <c r="A90" s="1691" t="s">
        <v>516</v>
      </c>
      <c r="B90" s="496"/>
      <c r="C90" s="496"/>
      <c r="D90" s="496"/>
      <c r="E90" s="496"/>
      <c r="F90" s="496"/>
      <c r="G90" s="496"/>
      <c r="H90" s="496"/>
    </row>
    <row r="91" spans="1:8">
      <c r="A91" s="1691" t="s">
        <v>1641</v>
      </c>
      <c r="B91" s="149"/>
      <c r="C91" s="148"/>
      <c r="D91" s="148"/>
      <c r="E91" s="148"/>
      <c r="F91" s="148"/>
      <c r="G91" s="148"/>
      <c r="H91" s="148"/>
    </row>
    <row r="92" spans="1:8">
      <c r="A92" s="1691" t="s">
        <v>518</v>
      </c>
      <c r="B92" s="149"/>
      <c r="C92" s="148"/>
      <c r="D92" s="148"/>
      <c r="E92" s="148"/>
      <c r="F92" s="148"/>
      <c r="G92" s="148"/>
      <c r="H92" s="148"/>
    </row>
    <row r="93" spans="1:8">
      <c r="A93" s="1691" t="s">
        <v>1642</v>
      </c>
      <c r="B93" s="149"/>
      <c r="C93" s="148"/>
      <c r="D93" s="148"/>
      <c r="E93" s="148"/>
      <c r="F93" s="148"/>
      <c r="G93" s="148"/>
      <c r="H93" s="148"/>
    </row>
    <row r="94" spans="1:8">
      <c r="A94" s="1691" t="s">
        <v>520</v>
      </c>
      <c r="B94" s="149"/>
      <c r="C94" s="148"/>
      <c r="D94" s="148"/>
      <c r="E94" s="148"/>
      <c r="F94" s="148"/>
      <c r="G94" s="148"/>
      <c r="H94" s="148"/>
    </row>
    <row r="95" spans="1:8">
      <c r="A95" s="149"/>
      <c r="B95" s="496">
        <v>0</v>
      </c>
      <c r="C95" s="496">
        <v>0</v>
      </c>
      <c r="D95" s="496">
        <v>0</v>
      </c>
      <c r="E95" s="496">
        <v>0</v>
      </c>
      <c r="F95" s="496">
        <v>106</v>
      </c>
      <c r="G95" s="496">
        <v>124</v>
      </c>
      <c r="H95" s="1693">
        <v>119</v>
      </c>
    </row>
    <row r="96" spans="1:8">
      <c r="A96" s="149"/>
      <c r="B96" s="149"/>
      <c r="C96" s="148"/>
      <c r="D96" s="148"/>
      <c r="E96" s="148"/>
      <c r="F96" s="148"/>
      <c r="G96" s="148"/>
      <c r="H96" s="148"/>
    </row>
    <row r="97" spans="1:8">
      <c r="A97" s="149"/>
      <c r="B97" s="149"/>
      <c r="C97" s="148"/>
      <c r="D97" s="148"/>
      <c r="E97" s="148"/>
      <c r="F97" s="148"/>
      <c r="G97" s="148"/>
      <c r="H97" s="148"/>
    </row>
    <row r="98" spans="1:8">
      <c r="A98" s="847"/>
      <c r="B98" s="847"/>
      <c r="C98" s="380"/>
      <c r="D98" s="380"/>
      <c r="E98" s="380"/>
      <c r="F98" s="380"/>
      <c r="G98" s="380"/>
      <c r="H98" s="380"/>
    </row>
    <row r="99" spans="1:8">
      <c r="A99" s="1696" t="s">
        <v>1646</v>
      </c>
      <c r="B99" s="847"/>
      <c r="C99" s="380"/>
      <c r="D99" s="380"/>
      <c r="E99" s="380"/>
      <c r="F99" s="380"/>
      <c r="G99" s="380"/>
      <c r="H99" s="380"/>
    </row>
    <row r="100" spans="1:8">
      <c r="A100" s="441" t="s">
        <v>513</v>
      </c>
      <c r="B100" s="380"/>
      <c r="C100" s="380"/>
      <c r="D100" s="380"/>
      <c r="E100" s="380"/>
      <c r="F100" s="455">
        <v>4</v>
      </c>
      <c r="G100" s="380">
        <v>2</v>
      </c>
      <c r="H100" s="1692">
        <v>3</v>
      </c>
    </row>
    <row r="101" spans="1:8">
      <c r="A101" s="441" t="s">
        <v>6</v>
      </c>
      <c r="B101" s="380"/>
      <c r="C101" s="380"/>
      <c r="D101" s="380"/>
      <c r="E101" s="380"/>
      <c r="F101" s="455">
        <v>0</v>
      </c>
      <c r="G101" s="380">
        <v>1</v>
      </c>
      <c r="H101" s="1692">
        <v>2</v>
      </c>
    </row>
    <row r="102" spans="1:8">
      <c r="A102" s="441" t="s">
        <v>8</v>
      </c>
      <c r="B102" s="380"/>
      <c r="C102" s="380"/>
      <c r="D102" s="380"/>
      <c r="E102" s="380"/>
      <c r="F102">
        <v>0</v>
      </c>
      <c r="G102" s="380">
        <v>0</v>
      </c>
      <c r="H102" s="1692">
        <v>0</v>
      </c>
    </row>
    <row r="103" spans="1:8">
      <c r="A103" s="441" t="s">
        <v>2</v>
      </c>
      <c r="F103" s="455">
        <v>1</v>
      </c>
      <c r="G103">
        <v>4</v>
      </c>
      <c r="H103" s="1692">
        <v>3</v>
      </c>
    </row>
    <row r="104" spans="1:8">
      <c r="A104" s="441" t="s">
        <v>10</v>
      </c>
      <c r="F104">
        <v>0</v>
      </c>
      <c r="G104">
        <v>0</v>
      </c>
      <c r="H104" s="1692">
        <v>0</v>
      </c>
    </row>
    <row r="105" spans="1:8">
      <c r="A105" s="441" t="s">
        <v>4</v>
      </c>
      <c r="F105" s="455">
        <v>1</v>
      </c>
      <c r="G105">
        <v>1</v>
      </c>
      <c r="H105" s="1692">
        <v>1</v>
      </c>
    </row>
    <row r="106" spans="1:8">
      <c r="A106" s="441" t="s">
        <v>14</v>
      </c>
      <c r="F106" s="455">
        <v>0</v>
      </c>
      <c r="G106">
        <v>1</v>
      </c>
      <c r="H106" s="1692">
        <v>1</v>
      </c>
    </row>
    <row r="107" spans="1:8">
      <c r="A107" s="441" t="s">
        <v>17</v>
      </c>
      <c r="F107" s="455">
        <v>35</v>
      </c>
      <c r="G107">
        <v>43</v>
      </c>
      <c r="H107" s="1692">
        <v>50</v>
      </c>
    </row>
    <row r="108" spans="1:8">
      <c r="A108" s="441" t="s">
        <v>316</v>
      </c>
      <c r="F108">
        <v>0</v>
      </c>
      <c r="G108">
        <v>0</v>
      </c>
      <c r="H108" s="1692">
        <v>0</v>
      </c>
    </row>
    <row r="109" spans="1:8">
      <c r="A109" s="441" t="s">
        <v>7</v>
      </c>
      <c r="F109">
        <v>0</v>
      </c>
      <c r="G109">
        <v>0</v>
      </c>
      <c r="H109" s="1692">
        <v>0</v>
      </c>
    </row>
    <row r="110" spans="1:8">
      <c r="A110" s="441" t="s">
        <v>514</v>
      </c>
      <c r="F110" s="455">
        <v>6</v>
      </c>
      <c r="G110">
        <v>5</v>
      </c>
      <c r="H110" s="1692">
        <v>5</v>
      </c>
    </row>
    <row r="111" spans="1:8">
      <c r="A111" s="441" t="s">
        <v>515</v>
      </c>
      <c r="F111" s="455">
        <v>33</v>
      </c>
      <c r="G111">
        <v>33</v>
      </c>
      <c r="H111" s="1692">
        <v>38</v>
      </c>
    </row>
    <row r="112" spans="1:8">
      <c r="A112" s="441"/>
    </row>
    <row r="113" spans="1:7">
      <c r="A113" s="441" t="s">
        <v>516</v>
      </c>
    </row>
    <row r="114" spans="1:7">
      <c r="A114" s="441" t="s">
        <v>1641</v>
      </c>
    </row>
    <row r="115" spans="1:7">
      <c r="A115" s="441" t="s">
        <v>518</v>
      </c>
    </row>
    <row r="116" spans="1:7">
      <c r="A116" s="441" t="s">
        <v>519</v>
      </c>
    </row>
    <row r="117" spans="1:7">
      <c r="A117" s="441" t="s">
        <v>520</v>
      </c>
    </row>
    <row r="118" spans="1:7">
      <c r="A118" s="452"/>
    </row>
    <row r="119" spans="1:7">
      <c r="A119" s="452"/>
    </row>
    <row r="121" spans="1:7">
      <c r="A121" s="495">
        <v>18769</v>
      </c>
      <c r="B121" s="495" t="s">
        <v>0</v>
      </c>
      <c r="C121" s="495" t="s">
        <v>12</v>
      </c>
      <c r="D121" s="495" t="s">
        <v>545</v>
      </c>
      <c r="E121" s="495" t="s">
        <v>546</v>
      </c>
      <c r="F121" s="495" t="s">
        <v>826</v>
      </c>
      <c r="G121" s="996"/>
    </row>
    <row r="122" spans="1:7">
      <c r="A122" s="1696" t="s">
        <v>1647</v>
      </c>
    </row>
    <row r="123" spans="1:7">
      <c r="A123" s="441" t="s">
        <v>513</v>
      </c>
      <c r="B123" s="455">
        <v>432</v>
      </c>
      <c r="C123" s="455">
        <v>518</v>
      </c>
      <c r="D123" s="455">
        <v>580</v>
      </c>
      <c r="E123" s="455">
        <v>599</v>
      </c>
      <c r="F123" s="455">
        <v>632</v>
      </c>
      <c r="G123" s="455">
        <v>518</v>
      </c>
    </row>
    <row r="124" spans="1:7">
      <c r="A124" s="441" t="s">
        <v>6</v>
      </c>
      <c r="B124" s="455">
        <v>715</v>
      </c>
      <c r="C124" s="455">
        <v>859</v>
      </c>
      <c r="D124" s="455">
        <v>789</v>
      </c>
      <c r="E124" s="455">
        <v>804</v>
      </c>
      <c r="F124" s="455">
        <v>792</v>
      </c>
      <c r="G124" s="455">
        <v>989</v>
      </c>
    </row>
    <row r="125" spans="1:7">
      <c r="A125" s="441" t="s">
        <v>8</v>
      </c>
      <c r="B125" s="455">
        <v>169</v>
      </c>
      <c r="C125" s="455">
        <v>150</v>
      </c>
      <c r="D125" s="455">
        <v>149</v>
      </c>
      <c r="E125" s="455">
        <v>151</v>
      </c>
      <c r="F125" s="455">
        <v>157</v>
      </c>
      <c r="G125" s="455">
        <v>172</v>
      </c>
    </row>
    <row r="126" spans="1:7">
      <c r="A126" s="441" t="s">
        <v>2</v>
      </c>
      <c r="B126" s="455">
        <v>183</v>
      </c>
      <c r="C126" s="455">
        <v>199</v>
      </c>
      <c r="D126" s="455">
        <v>202</v>
      </c>
      <c r="E126" s="455">
        <v>186</v>
      </c>
      <c r="F126" s="455">
        <v>200</v>
      </c>
      <c r="G126" s="455">
        <v>220</v>
      </c>
    </row>
    <row r="127" spans="1:7">
      <c r="A127" s="441" t="s">
        <v>10</v>
      </c>
      <c r="B127" s="455">
        <v>95</v>
      </c>
      <c r="C127" s="455">
        <v>98</v>
      </c>
      <c r="D127" s="455">
        <v>87</v>
      </c>
      <c r="E127" s="455">
        <v>98</v>
      </c>
      <c r="F127" s="455">
        <v>82</v>
      </c>
      <c r="G127" s="455">
        <v>87</v>
      </c>
    </row>
    <row r="128" spans="1:7">
      <c r="A128" s="441" t="s">
        <v>4</v>
      </c>
      <c r="B128" s="455">
        <v>553</v>
      </c>
      <c r="C128" s="455">
        <v>612</v>
      </c>
      <c r="D128" s="455">
        <v>619</v>
      </c>
      <c r="E128" s="455">
        <v>648</v>
      </c>
      <c r="F128" s="455">
        <v>671</v>
      </c>
      <c r="G128" s="455">
        <v>717</v>
      </c>
    </row>
    <row r="129" spans="1:7">
      <c r="A129" s="441" t="s">
        <v>14</v>
      </c>
      <c r="B129" s="455">
        <v>69</v>
      </c>
      <c r="C129" s="455">
        <v>81</v>
      </c>
      <c r="D129" s="455">
        <v>64</v>
      </c>
      <c r="E129" s="455">
        <v>53</v>
      </c>
      <c r="F129" s="455">
        <v>59</v>
      </c>
      <c r="G129" s="455">
        <v>56</v>
      </c>
    </row>
    <row r="130" spans="1:7">
      <c r="A130" s="441" t="s">
        <v>17</v>
      </c>
      <c r="B130" s="455">
        <v>887</v>
      </c>
      <c r="C130" s="455">
        <v>952</v>
      </c>
      <c r="D130" s="455">
        <v>980</v>
      </c>
      <c r="E130" s="455">
        <v>992</v>
      </c>
      <c r="F130" s="455">
        <v>1064</v>
      </c>
      <c r="G130" s="455">
        <v>1094</v>
      </c>
    </row>
    <row r="131" spans="1:7">
      <c r="A131" s="441" t="s">
        <v>316</v>
      </c>
      <c r="B131" s="455">
        <v>57</v>
      </c>
      <c r="C131" s="455">
        <v>58</v>
      </c>
      <c r="D131" s="455">
        <v>63</v>
      </c>
      <c r="E131" s="455">
        <v>61</v>
      </c>
      <c r="F131" s="455">
        <v>55</v>
      </c>
      <c r="G131" s="455">
        <v>56</v>
      </c>
    </row>
    <row r="132" spans="1:7">
      <c r="A132" s="441" t="s">
        <v>7</v>
      </c>
      <c r="B132" s="455">
        <v>914</v>
      </c>
      <c r="C132" s="455">
        <v>1120</v>
      </c>
      <c r="D132" s="455">
        <v>1198</v>
      </c>
      <c r="E132" s="455">
        <v>1368</v>
      </c>
      <c r="F132" s="455">
        <v>1727</v>
      </c>
      <c r="G132" s="455">
        <v>1835</v>
      </c>
    </row>
    <row r="133" spans="1:7">
      <c r="A133" s="441" t="s">
        <v>514</v>
      </c>
      <c r="B133" s="455">
        <v>772</v>
      </c>
      <c r="C133" s="455">
        <v>811</v>
      </c>
      <c r="D133" s="455">
        <v>833</v>
      </c>
      <c r="E133" s="455">
        <v>917</v>
      </c>
      <c r="F133" s="455">
        <v>905</v>
      </c>
      <c r="G133" s="455">
        <v>842</v>
      </c>
    </row>
    <row r="134" spans="1:7">
      <c r="A134" s="441" t="s">
        <v>515</v>
      </c>
      <c r="B134" s="455">
        <v>166</v>
      </c>
      <c r="C134" s="455">
        <v>158</v>
      </c>
      <c r="D134" s="455">
        <v>152</v>
      </c>
      <c r="E134" s="455">
        <v>166</v>
      </c>
      <c r="F134" s="455">
        <v>145</v>
      </c>
      <c r="G134" s="455">
        <v>140</v>
      </c>
    </row>
    <row r="135" spans="1:7">
      <c r="A135" s="441"/>
    </row>
    <row r="136" spans="1:7">
      <c r="A136" s="441" t="s">
        <v>516</v>
      </c>
      <c r="B136" s="455">
        <v>0</v>
      </c>
      <c r="C136" s="455">
        <v>0</v>
      </c>
      <c r="D136" s="455">
        <v>0</v>
      </c>
      <c r="E136" s="455">
        <v>0</v>
      </c>
      <c r="F136" s="455">
        <v>0</v>
      </c>
      <c r="G136" s="455">
        <v>0</v>
      </c>
    </row>
    <row r="137" spans="1:7">
      <c r="A137" s="441" t="s">
        <v>1641</v>
      </c>
      <c r="B137" s="455">
        <v>0</v>
      </c>
      <c r="C137" s="455">
        <v>0</v>
      </c>
      <c r="D137" s="455">
        <v>0</v>
      </c>
      <c r="E137" s="455">
        <v>0</v>
      </c>
      <c r="F137" s="455">
        <v>0</v>
      </c>
      <c r="G137" s="455">
        <v>0</v>
      </c>
    </row>
    <row r="138" spans="1:7">
      <c r="A138" s="441" t="s">
        <v>518</v>
      </c>
      <c r="B138" s="455">
        <v>101</v>
      </c>
      <c r="C138" s="455">
        <v>180</v>
      </c>
      <c r="D138" s="455">
        <v>171</v>
      </c>
      <c r="E138" s="455">
        <v>182</v>
      </c>
      <c r="F138" s="455">
        <v>135</v>
      </c>
      <c r="G138" s="455">
        <v>176</v>
      </c>
    </row>
    <row r="139" spans="1:7">
      <c r="A139" s="441" t="s">
        <v>519</v>
      </c>
      <c r="B139" s="455">
        <v>0</v>
      </c>
      <c r="C139" s="455">
        <v>0</v>
      </c>
      <c r="D139" s="455">
        <v>0</v>
      </c>
      <c r="E139" s="455">
        <v>0</v>
      </c>
      <c r="F139" s="455">
        <v>0</v>
      </c>
      <c r="G139" s="455">
        <v>0</v>
      </c>
    </row>
    <row r="140" spans="1:7">
      <c r="A140" s="441" t="s">
        <v>520</v>
      </c>
      <c r="B140" s="455">
        <v>0</v>
      </c>
      <c r="C140" s="455">
        <v>0</v>
      </c>
      <c r="D140" s="455">
        <v>0</v>
      </c>
      <c r="E140" s="455">
        <v>0</v>
      </c>
      <c r="F140" s="455">
        <v>0</v>
      </c>
      <c r="G140" s="455">
        <v>0</v>
      </c>
    </row>
    <row r="142" spans="1:7">
      <c r="B142" s="455">
        <v>5113</v>
      </c>
      <c r="C142" s="455">
        <v>5796</v>
      </c>
      <c r="D142" s="455">
        <v>5887</v>
      </c>
      <c r="E142" s="455">
        <v>6225</v>
      </c>
      <c r="F142" s="455">
        <v>6624</v>
      </c>
      <c r="G142" s="455">
        <v>6902</v>
      </c>
    </row>
  </sheetData>
  <mergeCells count="1">
    <mergeCell ref="I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72"/>
  <sheetViews>
    <sheetView topLeftCell="A2" workbookViewId="0">
      <selection activeCell="AB5" sqref="AB5:AC5"/>
    </sheetView>
  </sheetViews>
  <sheetFormatPr defaultColWidth="10.875" defaultRowHeight="15.75"/>
  <cols>
    <col min="1" max="1" width="28.375" style="271" customWidth="1"/>
    <col min="2" max="2" width="28.5" style="271" customWidth="1"/>
    <col min="3" max="3" width="19.375" style="271" customWidth="1"/>
    <col min="4" max="4" width="17.375" style="271" customWidth="1"/>
    <col min="5" max="5" width="14" style="271" customWidth="1"/>
    <col min="6" max="6" width="15.5" style="271" customWidth="1"/>
    <col min="7" max="7" width="13.375" style="271" customWidth="1"/>
    <col min="8" max="8" width="13.125" style="271" customWidth="1"/>
    <col min="9" max="9" width="11.375" style="271" customWidth="1"/>
    <col min="10" max="10" width="12" style="271" bestFit="1" customWidth="1"/>
    <col min="11" max="26" width="10.875" style="271"/>
    <col min="27" max="27" width="36.625" style="271" customWidth="1"/>
    <col min="28" max="28" width="13" style="271" customWidth="1"/>
    <col min="29" max="29" width="12.375" style="271" customWidth="1"/>
    <col min="30" max="30" width="13.875" style="271" customWidth="1"/>
    <col min="31" max="31" width="10.875" style="271"/>
    <col min="32" max="32" width="32.5" style="271" customWidth="1"/>
    <col min="33" max="33" width="14.375" style="271" customWidth="1"/>
    <col min="34" max="34" width="12" style="271" customWidth="1"/>
    <col min="35" max="35" width="13.625" style="271" customWidth="1"/>
    <col min="36" max="36" width="11.5" style="271" bestFit="1" customWidth="1"/>
    <col min="37" max="16384" width="10.875" style="271"/>
  </cols>
  <sheetData>
    <row r="1" spans="1:37" ht="18.75">
      <c r="A1" s="870" t="s">
        <v>1348</v>
      </c>
      <c r="B1" s="270"/>
      <c r="D1" s="272" t="s">
        <v>177</v>
      </c>
      <c r="E1" s="273">
        <f>'Step 6a Service-Support Detail'!K57</f>
        <v>2024705.2757816743</v>
      </c>
      <c r="F1"/>
      <c r="G1" s="297"/>
      <c r="H1" s="297"/>
      <c r="K1"/>
      <c r="L1"/>
      <c r="M1"/>
      <c r="N1"/>
      <c r="O1"/>
      <c r="P1"/>
      <c r="Q1"/>
      <c r="R1"/>
      <c r="S1"/>
      <c r="T1"/>
      <c r="AA1" s="169" t="s">
        <v>61</v>
      </c>
      <c r="AB1"/>
      <c r="AC1"/>
      <c r="AD1"/>
      <c r="AE1"/>
      <c r="AF1"/>
    </row>
    <row r="2" spans="1:37">
      <c r="A2" s="855"/>
      <c r="D2" s="272" t="s">
        <v>293</v>
      </c>
      <c r="E2" s="274">
        <f>'Step 2 Productivity Split'!C35</f>
        <v>0</v>
      </c>
      <c r="F2" s="275"/>
      <c r="K2"/>
      <c r="L2"/>
      <c r="M2"/>
      <c r="N2"/>
      <c r="O2"/>
      <c r="P2"/>
      <c r="Q2"/>
      <c r="R2"/>
      <c r="S2"/>
      <c r="T2"/>
      <c r="AA2" s="169" t="s">
        <v>1323</v>
      </c>
      <c r="AB2"/>
      <c r="AC2"/>
      <c r="AD2"/>
      <c r="AE2"/>
      <c r="AF2"/>
    </row>
    <row r="3" spans="1:37" ht="32.1" customHeight="1">
      <c r="A3" s="1920"/>
      <c r="B3" s="1920"/>
      <c r="C3" s="1920"/>
      <c r="D3" s="1920"/>
      <c r="E3" s="1920"/>
      <c r="F3" s="1920"/>
      <c r="K3"/>
      <c r="L3"/>
      <c r="M3"/>
      <c r="N3"/>
      <c r="O3"/>
      <c r="P3"/>
      <c r="Q3"/>
      <c r="R3"/>
      <c r="S3"/>
      <c r="T3"/>
      <c r="AA3" s="169"/>
      <c r="AB3"/>
      <c r="AC3"/>
      <c r="AD3"/>
      <c r="AE3"/>
      <c r="AF3"/>
    </row>
    <row r="4" spans="1:37">
      <c r="A4" s="1321" t="s">
        <v>1355</v>
      </c>
      <c r="B4" s="275"/>
      <c r="C4" s="275"/>
      <c r="D4" s="275"/>
      <c r="E4" s="275"/>
      <c r="F4" s="275"/>
      <c r="K4"/>
      <c r="L4"/>
      <c r="M4"/>
      <c r="N4"/>
      <c r="O4"/>
      <c r="P4"/>
      <c r="Q4"/>
      <c r="R4"/>
      <c r="S4"/>
      <c r="T4"/>
      <c r="AA4" s="170"/>
      <c r="AB4"/>
      <c r="AC4"/>
      <c r="AD4"/>
      <c r="AE4"/>
      <c r="AF4"/>
    </row>
    <row r="5" spans="1:37" ht="26.25">
      <c r="A5" s="275"/>
      <c r="B5" s="283"/>
      <c r="C5" s="275"/>
      <c r="D5" s="275"/>
      <c r="E5" s="284"/>
      <c r="F5"/>
      <c r="G5"/>
      <c r="K5"/>
      <c r="L5"/>
      <c r="M5"/>
      <c r="N5"/>
      <c r="O5"/>
      <c r="P5"/>
      <c r="Q5"/>
      <c r="R5"/>
      <c r="S5"/>
      <c r="T5"/>
      <c r="W5"/>
      <c r="AA5" s="271" t="s">
        <v>636</v>
      </c>
      <c r="AB5" s="507" t="s">
        <v>1618</v>
      </c>
      <c r="AC5" s="507" t="s">
        <v>1927</v>
      </c>
      <c r="AD5" s="507" t="s">
        <v>1620</v>
      </c>
      <c r="AE5"/>
      <c r="AF5" s="649" t="s">
        <v>68</v>
      </c>
      <c r="AG5" s="507" t="s">
        <v>1618</v>
      </c>
      <c r="AH5" s="507" t="s">
        <v>1927</v>
      </c>
      <c r="AI5" s="507" t="s">
        <v>1619</v>
      </c>
      <c r="AJ5" s="275"/>
      <c r="AK5" s="275"/>
    </row>
    <row r="6" spans="1:37" ht="18.75">
      <c r="A6" s="307" t="s">
        <v>308</v>
      </c>
      <c r="D6" s="275"/>
      <c r="E6" s="286"/>
      <c r="F6"/>
      <c r="G6"/>
      <c r="W6"/>
      <c r="AE6"/>
      <c r="AF6" s="171" t="s">
        <v>470</v>
      </c>
      <c r="AG6" s="40">
        <f>'Step 7 Final Adjustments'!R6</f>
        <v>0</v>
      </c>
      <c r="AH6" s="1650">
        <f>'Step 7 Final Adjustments'!T6</f>
        <v>-626137</v>
      </c>
      <c r="AI6" s="1925">
        <f>SUM(AG6:AG12)-AH6</f>
        <v>70527244.756919712</v>
      </c>
      <c r="AK6" s="275"/>
    </row>
    <row r="7" spans="1:37">
      <c r="D7" s="275"/>
      <c r="E7" s="287"/>
      <c r="F7"/>
      <c r="G7"/>
      <c r="W7"/>
      <c r="AA7" s="173" t="s">
        <v>72</v>
      </c>
      <c r="AB7" s="372">
        <f t="shared" ref="AB7:AB17" si="0">AG16</f>
        <v>24523970.538359653</v>
      </c>
      <c r="AC7" s="372">
        <f t="shared" ref="AC7:AC17" si="1">AH16</f>
        <v>23993241</v>
      </c>
      <c r="AD7" s="372">
        <f>AB7-AC7</f>
        <v>530729.5383596532</v>
      </c>
      <c r="AE7"/>
      <c r="AF7" s="171" t="s">
        <v>469</v>
      </c>
      <c r="AG7" s="40">
        <f>'Step 7 Final Adjustments'!R7</f>
        <v>9795580</v>
      </c>
      <c r="AH7" s="1874">
        <f>'Step 7 Final Adjustments'!T7</f>
        <v>7259180</v>
      </c>
      <c r="AI7" s="1926"/>
      <c r="AK7" s="275"/>
    </row>
    <row r="8" spans="1:37">
      <c r="E8" s="287"/>
      <c r="F8"/>
      <c r="G8"/>
      <c r="W8"/>
      <c r="AA8" s="49" t="s">
        <v>73</v>
      </c>
      <c r="AB8" s="373">
        <f t="shared" si="0"/>
        <v>22524237.091031913</v>
      </c>
      <c r="AC8" s="373">
        <f t="shared" si="1"/>
        <v>21443844</v>
      </c>
      <c r="AD8" s="373">
        <f>AB8-AC8</f>
        <v>1080393.0910319127</v>
      </c>
      <c r="AE8"/>
      <c r="AF8" s="171" t="s">
        <v>697</v>
      </c>
      <c r="AG8" s="40">
        <f>'Step 7 Final Adjustments'!R8</f>
        <v>-2193217.0130802859</v>
      </c>
      <c r="AH8" s="1874">
        <f>'Step 7 Final Adjustments'!T8</f>
        <v>-10659942.763277592</v>
      </c>
      <c r="AI8" s="1926"/>
      <c r="AJ8" s="650"/>
      <c r="AK8" s="1292"/>
    </row>
    <row r="9" spans="1:37">
      <c r="A9" s="289" t="s">
        <v>303</v>
      </c>
      <c r="B9" s="289"/>
      <c r="C9" s="290">
        <f>E36</f>
        <v>0</v>
      </c>
      <c r="D9" s="275"/>
      <c r="E9" s="275"/>
      <c r="F9"/>
      <c r="G9"/>
      <c r="W9"/>
      <c r="AA9" s="172" t="s">
        <v>74</v>
      </c>
      <c r="AB9" s="373">
        <f t="shared" si="0"/>
        <v>68039673.913837895</v>
      </c>
      <c r="AC9" s="373">
        <f t="shared" si="1"/>
        <v>67030706</v>
      </c>
      <c r="AD9" s="373">
        <f>AB9-AC9</f>
        <v>1008967.9138378948</v>
      </c>
      <c r="AE9"/>
      <c r="AF9" s="171" t="s">
        <v>714</v>
      </c>
      <c r="AG9" s="40">
        <f>'Step 7 Final Adjustments'!R9</f>
        <v>13000000</v>
      </c>
      <c r="AH9" s="1874">
        <f>'Step 7 Final Adjustments'!T9</f>
        <v>10000000</v>
      </c>
      <c r="AI9" s="1926"/>
      <c r="AK9" s="275"/>
    </row>
    <row r="10" spans="1:37">
      <c r="A10" s="289" t="s">
        <v>304</v>
      </c>
      <c r="B10" s="289"/>
      <c r="C10" s="290">
        <f>'Pools, Rates, Reference'!B26-'Dashboard-Academic Allocation'!C48</f>
        <v>122515173.16018005</v>
      </c>
      <c r="D10" s="275"/>
      <c r="F10" s="285"/>
      <c r="G10"/>
      <c r="W10"/>
      <c r="AA10" s="173" t="s">
        <v>75</v>
      </c>
      <c r="AB10" s="372">
        <f t="shared" si="0"/>
        <v>9249724.7562814131</v>
      </c>
      <c r="AC10" s="372">
        <f t="shared" si="1"/>
        <v>9423979</v>
      </c>
      <c r="AD10" s="372">
        <f>AB10-AC10</f>
        <v>-174254.24371858686</v>
      </c>
      <c r="AE10"/>
      <c r="AF10" s="171" t="s">
        <v>471</v>
      </c>
      <c r="AG10" s="40">
        <f>'Step 7 Final Adjustments'!R10</f>
        <v>19737098</v>
      </c>
      <c r="AH10" s="1874">
        <f>'Step 7 Final Adjustments'!T10</f>
        <v>18178922</v>
      </c>
      <c r="AI10" s="1926"/>
      <c r="AK10" s="275"/>
    </row>
    <row r="11" spans="1:37">
      <c r="F11" s="285"/>
      <c r="G11"/>
      <c r="W11"/>
      <c r="AA11" s="49" t="s">
        <v>76</v>
      </c>
      <c r="AB11" s="373">
        <f t="shared" si="0"/>
        <v>20494022.002564568</v>
      </c>
      <c r="AC11" s="373">
        <f t="shared" si="1"/>
        <v>20386034</v>
      </c>
      <c r="AD11" s="373">
        <f t="shared" ref="AD11:AD23" si="2">AB11-AC11</f>
        <v>107988.00256456807</v>
      </c>
      <c r="AE11"/>
      <c r="AF11" s="171" t="s">
        <v>472</v>
      </c>
      <c r="AG11" s="40">
        <f>'Step 7 Final Adjustments'!R11</f>
        <v>4500000</v>
      </c>
      <c r="AH11" s="1874">
        <f>'Step 7 Final Adjustments'!T11</f>
        <v>4150000</v>
      </c>
      <c r="AI11" s="1926"/>
      <c r="AK11" s="275"/>
    </row>
    <row r="12" spans="1:37" ht="33" customHeight="1" thickBot="1">
      <c r="A12" s="291"/>
      <c r="B12" s="291" t="s">
        <v>249</v>
      </c>
      <c r="C12" s="783" t="s">
        <v>707</v>
      </c>
      <c r="D12" s="783" t="s">
        <v>258</v>
      </c>
      <c r="E12" s="292" t="s">
        <v>259</v>
      </c>
      <c r="F12" s="275"/>
      <c r="G12"/>
      <c r="W12"/>
      <c r="AA12" s="172" t="s">
        <v>77</v>
      </c>
      <c r="AB12" s="373">
        <f t="shared" si="0"/>
        <v>5898671.472228311</v>
      </c>
      <c r="AC12" s="373">
        <f t="shared" si="1"/>
        <v>5442006</v>
      </c>
      <c r="AD12" s="373">
        <f t="shared" si="2"/>
        <v>456665.472228311</v>
      </c>
      <c r="AE12"/>
      <c r="AF12" s="171" t="s">
        <v>473</v>
      </c>
      <c r="AG12" s="40">
        <f>'Step 7 Final Adjustments'!R12</f>
        <v>25061646.77</v>
      </c>
      <c r="AH12" s="40">
        <f>'Step 7 Final Adjustments'!T12</f>
        <v>26139223</v>
      </c>
      <c r="AI12" s="375"/>
      <c r="AK12" s="275"/>
    </row>
    <row r="13" spans="1:37" ht="16.5" thickTop="1">
      <c r="A13" s="293" t="s">
        <v>68</v>
      </c>
      <c r="B13" s="275"/>
      <c r="C13" s="275"/>
      <c r="D13" s="275"/>
      <c r="E13" s="275"/>
      <c r="F13" s="288"/>
      <c r="G13"/>
      <c r="W13"/>
      <c r="AA13" s="173" t="s">
        <v>78</v>
      </c>
      <c r="AB13" s="372">
        <f t="shared" si="0"/>
        <v>44576377.858418711</v>
      </c>
      <c r="AC13" s="372">
        <f t="shared" si="1"/>
        <v>44094814</v>
      </c>
      <c r="AD13" s="372">
        <f t="shared" si="2"/>
        <v>481563.85841871053</v>
      </c>
      <c r="AE13"/>
      <c r="AF13" s="162"/>
      <c r="AG13" s="44"/>
      <c r="AH13" s="44"/>
      <c r="AI13" s="44"/>
      <c r="AK13" s="275"/>
    </row>
    <row r="14" spans="1:37">
      <c r="A14" s="172" t="s">
        <v>83</v>
      </c>
      <c r="B14" s="172" t="s">
        <v>250</v>
      </c>
      <c r="C14" s="294"/>
      <c r="D14" s="784"/>
      <c r="E14" s="294"/>
      <c r="F14" s="275"/>
      <c r="G14"/>
      <c r="W14"/>
      <c r="AA14" s="172" t="s">
        <v>79</v>
      </c>
      <c r="AB14" s="373">
        <f t="shared" si="0"/>
        <v>17320490.530335311</v>
      </c>
      <c r="AC14" s="373">
        <f t="shared" si="1"/>
        <v>18750980</v>
      </c>
      <c r="AD14" s="373">
        <f t="shared" si="2"/>
        <v>-1430489.4696646892</v>
      </c>
      <c r="AE14"/>
      <c r="AF14" s="47" t="s">
        <v>71</v>
      </c>
      <c r="AG14" s="33"/>
      <c r="AH14" s="33"/>
      <c r="AI14" s="33"/>
      <c r="AK14" s="275"/>
    </row>
    <row r="15" spans="1:37">
      <c r="A15" s="359" t="s">
        <v>452</v>
      </c>
      <c r="B15" s="359" t="s">
        <v>706</v>
      </c>
      <c r="C15" s="295"/>
      <c r="D15" s="785"/>
      <c r="E15" s="295"/>
      <c r="G15"/>
      <c r="W15"/>
      <c r="AA15" s="172" t="s">
        <v>80</v>
      </c>
      <c r="AB15" s="374">
        <f t="shared" si="0"/>
        <v>12758189.870759277</v>
      </c>
      <c r="AC15" s="374">
        <f t="shared" si="1"/>
        <v>12570093</v>
      </c>
      <c r="AD15" s="374">
        <f t="shared" si="2"/>
        <v>188096.87075927667</v>
      </c>
      <c r="AE15"/>
      <c r="AF15" s="1280" t="s">
        <v>1316</v>
      </c>
      <c r="AG15" s="373">
        <f>'Step 7 Final Adjustments'!R15</f>
        <v>0</v>
      </c>
      <c r="AH15" s="373">
        <f>'Step 7 Final Adjustments'!T15</f>
        <v>0</v>
      </c>
      <c r="AI15" s="373">
        <f>AG15-AH15</f>
        <v>0</v>
      </c>
      <c r="AK15" s="275"/>
    </row>
    <row r="16" spans="1:37">
      <c r="A16" s="172" t="s">
        <v>88</v>
      </c>
      <c r="B16" s="172" t="s">
        <v>493</v>
      </c>
      <c r="C16" s="294"/>
      <c r="D16" s="784"/>
      <c r="E16" s="294"/>
      <c r="G16"/>
      <c r="W16"/>
      <c r="AA16" s="173" t="s">
        <v>81</v>
      </c>
      <c r="AB16" s="372">
        <f t="shared" si="0"/>
        <v>44927756.725060485</v>
      </c>
      <c r="AC16" s="372">
        <f t="shared" si="1"/>
        <v>43664480</v>
      </c>
      <c r="AD16" s="372">
        <f t="shared" si="2"/>
        <v>1263276.7250604853</v>
      </c>
      <c r="AE16"/>
      <c r="AF16" s="173" t="s">
        <v>72</v>
      </c>
      <c r="AG16" s="372">
        <f>'Step 7 Final Adjustments'!R16</f>
        <v>24523970.538359653</v>
      </c>
      <c r="AH16" s="372">
        <f>'Step 7 Final Adjustments'!T16</f>
        <v>23993241</v>
      </c>
      <c r="AI16" s="372">
        <f>AG16-AH16</f>
        <v>530729.5383596532</v>
      </c>
      <c r="AK16" s="275"/>
    </row>
    <row r="17" spans="1:37">
      <c r="A17" s="173" t="s">
        <v>92</v>
      </c>
      <c r="B17" s="173" t="s">
        <v>705</v>
      </c>
      <c r="C17" s="295"/>
      <c r="D17" s="785"/>
      <c r="E17" s="295"/>
      <c r="G17"/>
      <c r="W17"/>
      <c r="AA17" s="172" t="s">
        <v>82</v>
      </c>
      <c r="AB17" s="374">
        <f t="shared" si="0"/>
        <v>27439905.628102593</v>
      </c>
      <c r="AC17" s="374">
        <f t="shared" si="1"/>
        <v>26260862</v>
      </c>
      <c r="AD17" s="374">
        <f t="shared" si="2"/>
        <v>1179043.6281025931</v>
      </c>
      <c r="AE17"/>
      <c r="AF17" s="49" t="s">
        <v>73</v>
      </c>
      <c r="AG17" s="373">
        <f>'Step 7 Final Adjustments'!R17</f>
        <v>22524237.091031913</v>
      </c>
      <c r="AH17" s="373">
        <f>'Step 7 Final Adjustments'!T17</f>
        <v>21443844</v>
      </c>
      <c r="AI17" s="373">
        <f t="shared" ref="AI17:AI34" si="3">AG17-AH17</f>
        <v>1080393.0910319127</v>
      </c>
      <c r="AK17" s="275"/>
    </row>
    <row r="18" spans="1:37">
      <c r="A18" s="172" t="s">
        <v>93</v>
      </c>
      <c r="B18" s="172" t="s">
        <v>244</v>
      </c>
      <c r="C18" s="294"/>
      <c r="D18" s="784"/>
      <c r="E18" s="294"/>
      <c r="G18"/>
      <c r="W18"/>
      <c r="AA18" s="172" t="s">
        <v>84</v>
      </c>
      <c r="AB18" s="373">
        <f>AG28</f>
        <v>3033568.3660428426</v>
      </c>
      <c r="AC18" s="373">
        <f>AH28</f>
        <v>2999580</v>
      </c>
      <c r="AD18" s="373">
        <f t="shared" si="2"/>
        <v>33988.366042842623</v>
      </c>
      <c r="AE18"/>
      <c r="AF18" s="172" t="s">
        <v>74</v>
      </c>
      <c r="AG18" s="373">
        <f>'Step 7 Final Adjustments'!R18</f>
        <v>68039673.913837895</v>
      </c>
      <c r="AH18" s="373">
        <f>'Step 7 Final Adjustments'!T18</f>
        <v>67030706</v>
      </c>
      <c r="AI18" s="373">
        <f t="shared" si="3"/>
        <v>1008967.9138378948</v>
      </c>
      <c r="AK18" s="275"/>
    </row>
    <row r="19" spans="1:37">
      <c r="A19" s="49" t="s">
        <v>94</v>
      </c>
      <c r="B19" s="49" t="s">
        <v>705</v>
      </c>
      <c r="C19" s="294"/>
      <c r="D19" s="784"/>
      <c r="E19" s="294"/>
      <c r="G19"/>
      <c r="W19"/>
      <c r="AA19" s="173" t="s">
        <v>453</v>
      </c>
      <c r="AB19" s="372">
        <f>AG32</f>
        <v>965422.26907622605</v>
      </c>
      <c r="AC19" s="372">
        <f>AH32</f>
        <v>957607</v>
      </c>
      <c r="AD19" s="372">
        <f t="shared" si="2"/>
        <v>7815.2690762260463</v>
      </c>
      <c r="AE19"/>
      <c r="AF19" s="173" t="s">
        <v>75</v>
      </c>
      <c r="AG19" s="372">
        <f>'Step 7 Final Adjustments'!R19</f>
        <v>9249724.7562814131</v>
      </c>
      <c r="AH19" s="372">
        <f>'Step 7 Final Adjustments'!T19</f>
        <v>9423979</v>
      </c>
      <c r="AI19" s="372">
        <f t="shared" si="3"/>
        <v>-174254.24371858686</v>
      </c>
      <c r="AK19" s="275"/>
    </row>
    <row r="20" spans="1:37">
      <c r="A20" s="173" t="s">
        <v>95</v>
      </c>
      <c r="B20" s="173" t="s">
        <v>705</v>
      </c>
      <c r="C20" s="295"/>
      <c r="D20" s="785"/>
      <c r="E20" s="295"/>
      <c r="G20"/>
      <c r="W20"/>
      <c r="AA20" s="49" t="s">
        <v>89</v>
      </c>
      <c r="AB20" s="50">
        <f>AG34</f>
        <v>10974383.031738687</v>
      </c>
      <c r="AC20" s="50">
        <f>AH34</f>
        <v>11507823</v>
      </c>
      <c r="AD20" s="50">
        <f t="shared" si="2"/>
        <v>-533439.96826131269</v>
      </c>
      <c r="AE20"/>
      <c r="AF20" s="49" t="s">
        <v>76</v>
      </c>
      <c r="AG20" s="373">
        <f>'Step 7 Final Adjustments'!R20</f>
        <v>20494022.002564568</v>
      </c>
      <c r="AH20" s="373">
        <f>'Step 7 Final Adjustments'!T20</f>
        <v>20386034</v>
      </c>
      <c r="AI20" s="373">
        <f t="shared" si="3"/>
        <v>107988.00256456807</v>
      </c>
      <c r="AK20" s="275"/>
    </row>
    <row r="21" spans="1:37">
      <c r="A21" s="172" t="s">
        <v>96</v>
      </c>
      <c r="B21" s="172" t="s">
        <v>494</v>
      </c>
      <c r="C21" s="294"/>
      <c r="D21" s="784"/>
      <c r="E21" s="294"/>
      <c r="G21"/>
      <c r="W21"/>
      <c r="AA21" s="172" t="s">
        <v>86</v>
      </c>
      <c r="AB21" s="44">
        <f>AG29</f>
        <v>20828781.916147012</v>
      </c>
      <c r="AC21" s="44">
        <f>AH29</f>
        <v>19821377</v>
      </c>
      <c r="AD21" s="44">
        <f t="shared" si="2"/>
        <v>1007404.9161470123</v>
      </c>
      <c r="AE21"/>
      <c r="AF21" s="172" t="s">
        <v>77</v>
      </c>
      <c r="AG21" s="373">
        <f>'Step 7 Final Adjustments'!R21</f>
        <v>5898671.472228311</v>
      </c>
      <c r="AH21" s="373">
        <f>'Step 7 Final Adjustments'!T21</f>
        <v>5442006</v>
      </c>
      <c r="AI21" s="373">
        <f t="shared" si="3"/>
        <v>456665.472228311</v>
      </c>
      <c r="AK21" s="275"/>
    </row>
    <row r="22" spans="1:37">
      <c r="A22" s="358" t="s">
        <v>474</v>
      </c>
      <c r="B22" s="358" t="s">
        <v>494</v>
      </c>
      <c r="C22" s="294"/>
      <c r="D22" s="784"/>
      <c r="E22" s="294"/>
      <c r="G22"/>
      <c r="W22"/>
      <c r="AA22" s="359" t="s">
        <v>87</v>
      </c>
      <c r="AB22" s="221">
        <f>AG30</f>
        <v>5217692.8139594896</v>
      </c>
      <c r="AC22" s="221">
        <f>AH30</f>
        <v>3440000</v>
      </c>
      <c r="AD22" s="221">
        <f t="shared" si="2"/>
        <v>1777692.8139594896</v>
      </c>
      <c r="AE22"/>
      <c r="AF22" s="173" t="s">
        <v>78</v>
      </c>
      <c r="AG22" s="372">
        <f>'Step 7 Final Adjustments'!R22</f>
        <v>44576377.858418711</v>
      </c>
      <c r="AH22" s="372">
        <f>'Step 7 Final Adjustments'!T22</f>
        <v>44094814</v>
      </c>
      <c r="AI22" s="372">
        <f t="shared" si="3"/>
        <v>481563.85841871053</v>
      </c>
      <c r="AK22" s="275"/>
    </row>
    <row r="23" spans="1:37">
      <c r="A23" s="172" t="s">
        <v>97</v>
      </c>
      <c r="B23" s="172" t="s">
        <v>248</v>
      </c>
      <c r="C23" s="294"/>
      <c r="D23" s="784"/>
      <c r="E23" s="294"/>
      <c r="G23"/>
      <c r="W23"/>
      <c r="AA23" s="362"/>
      <c r="AB23" s="362"/>
      <c r="AC23" s="362"/>
      <c r="AD23" s="362">
        <f t="shared" si="2"/>
        <v>0</v>
      </c>
      <c r="AE23"/>
      <c r="AF23" s="172" t="s">
        <v>79</v>
      </c>
      <c r="AG23" s="373">
        <f>'Step 7 Final Adjustments'!R23</f>
        <v>17320490.530335311</v>
      </c>
      <c r="AH23" s="373">
        <f>'Step 7 Final Adjustments'!T23</f>
        <v>18750980</v>
      </c>
      <c r="AI23" s="373">
        <f t="shared" si="3"/>
        <v>-1430489.4696646892</v>
      </c>
      <c r="AK23" s="275"/>
    </row>
    <row r="24" spans="1:37">
      <c r="A24" s="173" t="s">
        <v>98</v>
      </c>
      <c r="B24" s="173" t="s">
        <v>244</v>
      </c>
      <c r="C24" s="295"/>
      <c r="D24" s="785"/>
      <c r="E24" s="295"/>
      <c r="G24"/>
      <c r="W24"/>
      <c r="AA24" s="172"/>
      <c r="AB24" s="42"/>
      <c r="AC24" s="42"/>
      <c r="AD24" s="42"/>
      <c r="AE24"/>
      <c r="AF24" s="172" t="s">
        <v>80</v>
      </c>
      <c r="AG24" s="374">
        <f>'Step 7 Final Adjustments'!R24</f>
        <v>12758189.870759277</v>
      </c>
      <c r="AH24" s="374">
        <f>'Step 7 Final Adjustments'!T24</f>
        <v>12570093</v>
      </c>
      <c r="AI24" s="374">
        <f t="shared" si="3"/>
        <v>188096.87075927667</v>
      </c>
      <c r="AK24" s="275"/>
    </row>
    <row r="25" spans="1:37">
      <c r="A25" s="172" t="s">
        <v>475</v>
      </c>
      <c r="B25" s="172" t="s">
        <v>245</v>
      </c>
      <c r="C25" s="294"/>
      <c r="D25" s="784"/>
      <c r="E25" s="294"/>
      <c r="W25"/>
      <c r="AE25"/>
      <c r="AF25" s="173" t="s">
        <v>81</v>
      </c>
      <c r="AG25" s="372">
        <f>'Step 7 Final Adjustments'!R25</f>
        <v>44927756.725060485</v>
      </c>
      <c r="AH25" s="372">
        <f>'Step 7 Final Adjustments'!T25</f>
        <v>43664480</v>
      </c>
      <c r="AI25" s="372">
        <f t="shared" si="3"/>
        <v>1263276.7250604853</v>
      </c>
      <c r="AK25" s="275"/>
    </row>
    <row r="26" spans="1:37">
      <c r="A26" s="49" t="s">
        <v>85</v>
      </c>
      <c r="B26" s="49" t="s">
        <v>644</v>
      </c>
      <c r="C26" s="294"/>
      <c r="D26" s="784"/>
      <c r="E26" s="294"/>
      <c r="G26" s="310"/>
      <c r="W26"/>
      <c r="AE26"/>
      <c r="AF26" s="172" t="s">
        <v>82</v>
      </c>
      <c r="AG26" s="374">
        <f>'Step 7 Final Adjustments'!R26</f>
        <v>27439905.628102593</v>
      </c>
      <c r="AH26" s="374">
        <f>'Step 7 Final Adjustments'!T26</f>
        <v>26260862</v>
      </c>
      <c r="AI26" s="374">
        <f t="shared" si="3"/>
        <v>1179043.6281025931</v>
      </c>
      <c r="AK26" s="275"/>
    </row>
    <row r="27" spans="1:37">
      <c r="A27" s="359" t="s">
        <v>99</v>
      </c>
      <c r="B27" s="359" t="s">
        <v>260</v>
      </c>
      <c r="C27" s="295"/>
      <c r="D27" s="785"/>
      <c r="E27" s="295"/>
      <c r="W27"/>
      <c r="AE27"/>
      <c r="AF27" s="172" t="s">
        <v>83</v>
      </c>
      <c r="AG27" s="373">
        <f>'Step 7 Final Adjustments'!R27</f>
        <v>0</v>
      </c>
      <c r="AH27" s="373">
        <f>'Step 7 Final Adjustments'!T27</f>
        <v>0</v>
      </c>
      <c r="AI27" s="373">
        <f t="shared" si="3"/>
        <v>0</v>
      </c>
      <c r="AK27" s="275"/>
    </row>
    <row r="28" spans="1:37">
      <c r="A28" s="172" t="s">
        <v>100</v>
      </c>
      <c r="B28" s="172" t="s">
        <v>494</v>
      </c>
      <c r="C28" s="294"/>
      <c r="D28" s="784"/>
      <c r="E28" s="294"/>
      <c r="W28"/>
      <c r="AE28"/>
      <c r="AF28" s="173" t="s">
        <v>84</v>
      </c>
      <c r="AG28" s="372">
        <f>'Step 7 Final Adjustments'!R28</f>
        <v>3033568.3660428426</v>
      </c>
      <c r="AH28" s="372">
        <f>'Step 7 Final Adjustments'!T28</f>
        <v>2999580</v>
      </c>
      <c r="AI28" s="372">
        <f t="shared" si="3"/>
        <v>33988.366042842623</v>
      </c>
      <c r="AK28" s="275"/>
    </row>
    <row r="29" spans="1:37">
      <c r="A29" s="172" t="s">
        <v>704</v>
      </c>
      <c r="B29" s="172" t="s">
        <v>489</v>
      </c>
      <c r="C29" s="294"/>
      <c r="D29" s="784"/>
      <c r="E29" s="294"/>
      <c r="G29" s="310"/>
      <c r="W29"/>
      <c r="AE29"/>
      <c r="AF29" s="49" t="s">
        <v>86</v>
      </c>
      <c r="AG29" s="50">
        <f>'Step 7 Final Adjustments'!R29</f>
        <v>20828781.916147012</v>
      </c>
      <c r="AH29" s="50">
        <f>'Step 7 Final Adjustments'!T29</f>
        <v>19821377</v>
      </c>
      <c r="AI29" s="50">
        <f t="shared" si="3"/>
        <v>1007404.9161470123</v>
      </c>
      <c r="AJ29" s="275"/>
      <c r="AK29" s="275"/>
    </row>
    <row r="30" spans="1:37">
      <c r="A30" s="359" t="s">
        <v>102</v>
      </c>
      <c r="B30" s="359" t="s">
        <v>489</v>
      </c>
      <c r="C30" s="295"/>
      <c r="D30" s="785"/>
      <c r="E30" s="295"/>
      <c r="G30" s="311"/>
      <c r="W30"/>
      <c r="AE30"/>
      <c r="AF30" s="172" t="s">
        <v>87</v>
      </c>
      <c r="AG30" s="44">
        <f>'Step 7 Final Adjustments'!R30</f>
        <v>5217692.8139594896</v>
      </c>
      <c r="AH30" s="44">
        <f>'Step 7 Final Adjustments'!T30</f>
        <v>3440000</v>
      </c>
      <c r="AI30" s="44">
        <f t="shared" si="3"/>
        <v>1777692.8139594896</v>
      </c>
    </row>
    <row r="31" spans="1:37">
      <c r="A31" s="172" t="s">
        <v>103</v>
      </c>
      <c r="B31" s="172" t="s">
        <v>488</v>
      </c>
      <c r="C31" s="294"/>
      <c r="D31" s="784"/>
      <c r="E31" s="294"/>
      <c r="G31" s="311"/>
      <c r="W31"/>
      <c r="AE31"/>
      <c r="AF31" s="359" t="s">
        <v>452</v>
      </c>
      <c r="AG31" s="221">
        <f>'Step 7 Final Adjustments'!R31</f>
        <v>806264.00190416421</v>
      </c>
      <c r="AH31" s="221">
        <f>'Step 7 Final Adjustments'!T31</f>
        <v>816537</v>
      </c>
      <c r="AI31" s="221">
        <f t="shared" si="3"/>
        <v>-10272.998095835792</v>
      </c>
    </row>
    <row r="32" spans="1:37">
      <c r="A32" s="172" t="s">
        <v>450</v>
      </c>
      <c r="B32" s="172" t="s">
        <v>244</v>
      </c>
      <c r="C32" s="294"/>
      <c r="D32" s="784"/>
      <c r="E32" s="294"/>
      <c r="G32" s="311"/>
      <c r="I32" s="277"/>
      <c r="W32"/>
      <c r="AA32" s="871" t="s">
        <v>83</v>
      </c>
      <c r="AB32" s="872">
        <f>AG27</f>
        <v>0</v>
      </c>
      <c r="AC32" s="872">
        <f>AH27</f>
        <v>0</v>
      </c>
      <c r="AD32" s="872">
        <f t="shared" ref="AD32:AD53" si="4">AB32-AC32</f>
        <v>0</v>
      </c>
      <c r="AE32"/>
      <c r="AF32" s="358" t="s">
        <v>453</v>
      </c>
      <c r="AG32" s="50">
        <f>'Step 7 Final Adjustments'!R32</f>
        <v>965422.26907622605</v>
      </c>
      <c r="AH32" s="50">
        <f>'Step 7 Final Adjustments'!T32</f>
        <v>957607</v>
      </c>
      <c r="AI32" s="50">
        <f t="shared" si="3"/>
        <v>7815.2690762260463</v>
      </c>
    </row>
    <row r="33" spans="1:35">
      <c r="A33" s="377" t="s">
        <v>476</v>
      </c>
      <c r="B33" s="377" t="s">
        <v>488</v>
      </c>
      <c r="C33" s="295"/>
      <c r="D33" s="785"/>
      <c r="E33" s="295"/>
      <c r="W33"/>
      <c r="AA33" s="359" t="s">
        <v>452</v>
      </c>
      <c r="AB33" s="222">
        <f>AG31</f>
        <v>806264.00190416421</v>
      </c>
      <c r="AC33" s="222">
        <f>AH31</f>
        <v>816537</v>
      </c>
      <c r="AD33" s="222">
        <f t="shared" si="4"/>
        <v>-10272.998095835792</v>
      </c>
      <c r="AE33"/>
      <c r="AF33" s="172" t="s">
        <v>88</v>
      </c>
      <c r="AG33" s="44">
        <f>'Step 7 Final Adjustments'!R33</f>
        <v>15181209.347695021</v>
      </c>
      <c r="AH33" s="44">
        <f>'Step 7 Final Adjustments'!T33</f>
        <v>14975151</v>
      </c>
      <c r="AI33" s="44">
        <f t="shared" si="3"/>
        <v>206058.34769502096</v>
      </c>
    </row>
    <row r="34" spans="1:35" ht="16.5" thickBot="1">
      <c r="A34" s="786" t="s">
        <v>104</v>
      </c>
      <c r="B34" s="786" t="s">
        <v>488</v>
      </c>
      <c r="C34" s="296"/>
      <c r="D34" s="787"/>
      <c r="E34" s="296"/>
      <c r="G34" s="312"/>
      <c r="I34" s="278"/>
      <c r="W34"/>
      <c r="AA34" s="172" t="s">
        <v>88</v>
      </c>
      <c r="AB34" s="50">
        <f>AG33</f>
        <v>15181209.347695021</v>
      </c>
      <c r="AC34" s="50">
        <f>AH33</f>
        <v>14975151</v>
      </c>
      <c r="AD34" s="50">
        <f t="shared" si="4"/>
        <v>206058.34769502096</v>
      </c>
      <c r="AE34"/>
      <c r="AF34" s="359" t="s">
        <v>89</v>
      </c>
      <c r="AG34" s="375">
        <f>'Step 7 Final Adjustments'!R34</f>
        <v>10974383.031738687</v>
      </c>
      <c r="AH34" s="375">
        <f>'Step 7 Final Adjustments'!T34</f>
        <v>11507823</v>
      </c>
      <c r="AI34" s="375">
        <f t="shared" si="3"/>
        <v>-533439.96826131269</v>
      </c>
    </row>
    <row r="35" spans="1:35" ht="16.5" thickTop="1">
      <c r="E35" s="294"/>
      <c r="G35" s="312"/>
      <c r="I35" s="278"/>
      <c r="W35"/>
      <c r="AA35" s="173" t="s">
        <v>92</v>
      </c>
      <c r="AB35" s="372">
        <f>AG39</f>
        <v>8903102.0813306831</v>
      </c>
      <c r="AC35" s="372">
        <f>AH39</f>
        <v>8919523</v>
      </c>
      <c r="AD35" s="372">
        <f t="shared" si="4"/>
        <v>-16420.918669316918</v>
      </c>
      <c r="AE35"/>
      <c r="AF35" s="362" t="s">
        <v>90</v>
      </c>
      <c r="AG35" s="363">
        <f>SUM(AG15:AG34)</f>
        <v>354760342.13354355</v>
      </c>
      <c r="AH35" s="363">
        <f>SUM(AH16:AH34)</f>
        <v>347579114</v>
      </c>
      <c r="AI35" s="363">
        <f>SUM(AI16:AI34)</f>
        <v>7181228.1335435733</v>
      </c>
    </row>
    <row r="36" spans="1:35">
      <c r="E36" s="294">
        <f>SUM(E14:E34)</f>
        <v>0</v>
      </c>
      <c r="G36" s="312"/>
      <c r="I36" s="278"/>
      <c r="W36"/>
      <c r="AA36" s="173" t="s">
        <v>336</v>
      </c>
      <c r="AB36" s="372">
        <f t="shared" ref="AB36:AB53" si="5">AG40</f>
        <v>7750000</v>
      </c>
      <c r="AC36" s="372">
        <f t="shared" ref="AC36:AC53" si="6">AH40</f>
        <v>7177760</v>
      </c>
      <c r="AD36" s="372"/>
      <c r="AE36"/>
      <c r="AF36" s="172"/>
      <c r="AG36" s="42"/>
      <c r="AH36" s="42"/>
      <c r="AI36" s="42"/>
    </row>
    <row r="37" spans="1:35">
      <c r="I37" s="278"/>
      <c r="W37"/>
      <c r="AA37" s="172" t="s">
        <v>93</v>
      </c>
      <c r="AB37" s="374">
        <f t="shared" si="5"/>
        <v>4172099.1749395677</v>
      </c>
      <c r="AC37" s="374">
        <f t="shared" si="6"/>
        <v>4081953</v>
      </c>
      <c r="AD37" s="374">
        <f t="shared" si="4"/>
        <v>90146.174939567689</v>
      </c>
      <c r="AE37"/>
      <c r="AF37" s="162"/>
      <c r="AG37"/>
      <c r="AH37"/>
      <c r="AI37"/>
    </row>
    <row r="38" spans="1:35">
      <c r="E38" s="271" t="s">
        <v>799</v>
      </c>
      <c r="G38" s="313"/>
      <c r="I38" s="278"/>
      <c r="W38"/>
      <c r="AA38" s="49" t="s">
        <v>94</v>
      </c>
      <c r="AB38" s="374">
        <f t="shared" si="5"/>
        <v>987144.4159962415</v>
      </c>
      <c r="AC38" s="374">
        <f t="shared" si="6"/>
        <v>1512825</v>
      </c>
      <c r="AD38" s="374">
        <f t="shared" si="4"/>
        <v>-525680.5840037585</v>
      </c>
      <c r="AE38"/>
      <c r="AF38" s="49" t="s">
        <v>91</v>
      </c>
      <c r="AG38" s="50"/>
      <c r="AH38" s="50"/>
      <c r="AI38" s="50"/>
    </row>
    <row r="39" spans="1:35">
      <c r="I39" s="278"/>
      <c r="W39"/>
      <c r="AA39" s="173" t="s">
        <v>95</v>
      </c>
      <c r="AB39" s="372">
        <f t="shared" si="5"/>
        <v>2925680.0766603597</v>
      </c>
      <c r="AC39" s="372">
        <f t="shared" si="6"/>
        <v>2951197</v>
      </c>
      <c r="AD39" s="372">
        <f t="shared" si="4"/>
        <v>-25516.923339640256</v>
      </c>
      <c r="AE39"/>
      <c r="AF39" s="173" t="s">
        <v>92</v>
      </c>
      <c r="AG39" s="372">
        <f>'Step 7 Final Adjustments'!R39</f>
        <v>8903102.0813306831</v>
      </c>
      <c r="AH39" s="372">
        <f>'Step 7 Final Adjustments'!T39</f>
        <v>8919523</v>
      </c>
      <c r="AI39" s="372">
        <f>AG39-AH39</f>
        <v>-16420.918669316918</v>
      </c>
    </row>
    <row r="40" spans="1:35">
      <c r="G40" s="281"/>
      <c r="I40" s="278"/>
      <c r="J40" s="281"/>
      <c r="W40"/>
      <c r="AA40" s="172" t="s">
        <v>96</v>
      </c>
      <c r="AB40" s="374">
        <f t="shared" si="5"/>
        <v>11011750.440794896</v>
      </c>
      <c r="AC40" s="374">
        <f t="shared" si="6"/>
        <v>10531320</v>
      </c>
      <c r="AD40" s="374">
        <f t="shared" si="4"/>
        <v>480430.44079489633</v>
      </c>
      <c r="AE40"/>
      <c r="AF40" s="1318" t="s">
        <v>336</v>
      </c>
      <c r="AG40" s="372">
        <f>'Step 7 Final Adjustments'!R40</f>
        <v>7750000</v>
      </c>
      <c r="AH40" s="372">
        <f>'Step 7 Final Adjustments'!T40</f>
        <v>7177760</v>
      </c>
      <c r="AI40" s="372"/>
    </row>
    <row r="41" spans="1:35">
      <c r="G41" s="281"/>
      <c r="W41"/>
      <c r="AA41" s="358" t="s">
        <v>474</v>
      </c>
      <c r="AB41" s="374">
        <f t="shared" si="5"/>
        <v>5167746.3275012206</v>
      </c>
      <c r="AC41" s="374">
        <f t="shared" si="6"/>
        <v>6381261</v>
      </c>
      <c r="AD41" s="374">
        <f t="shared" si="4"/>
        <v>-1213514.6724987794</v>
      </c>
      <c r="AE41"/>
      <c r="AF41" s="172" t="s">
        <v>93</v>
      </c>
      <c r="AG41" s="374">
        <f>'Step 7 Final Adjustments'!R41</f>
        <v>4172099.1749395677</v>
      </c>
      <c r="AH41" s="374">
        <f>'Step 7 Final Adjustments'!T41</f>
        <v>4081953</v>
      </c>
      <c r="AI41" s="374">
        <f t="shared" ref="AI41:AI57" si="7">AG41-AH41</f>
        <v>90146.174939567689</v>
      </c>
    </row>
    <row r="42" spans="1:35">
      <c r="W42"/>
      <c r="AA42" s="172" t="s">
        <v>97</v>
      </c>
      <c r="AB42" s="374">
        <f t="shared" si="5"/>
        <v>2096449.9172718124</v>
      </c>
      <c r="AC42" s="374">
        <f t="shared" si="6"/>
        <v>1904613</v>
      </c>
      <c r="AD42" s="374">
        <f t="shared" si="4"/>
        <v>191836.91727181245</v>
      </c>
      <c r="AE42"/>
      <c r="AF42" s="49" t="s">
        <v>94</v>
      </c>
      <c r="AG42" s="374">
        <f>'Step 7 Final Adjustments'!R42</f>
        <v>987144.4159962415</v>
      </c>
      <c r="AH42" s="374">
        <f>'Step 7 Final Adjustments'!T42</f>
        <v>1512825</v>
      </c>
      <c r="AI42" s="374">
        <f t="shared" si="7"/>
        <v>-525680.5840037585</v>
      </c>
    </row>
    <row r="43" spans="1:35">
      <c r="W43"/>
      <c r="AA43" s="173" t="s">
        <v>98</v>
      </c>
      <c r="AB43" s="372">
        <f t="shared" si="5"/>
        <v>24839940.297978781</v>
      </c>
      <c r="AC43" s="372">
        <f t="shared" si="6"/>
        <v>23770557</v>
      </c>
      <c r="AD43" s="372">
        <f t="shared" si="4"/>
        <v>1069383.2979787812</v>
      </c>
      <c r="AE43"/>
      <c r="AF43" s="173" t="s">
        <v>95</v>
      </c>
      <c r="AG43" s="372">
        <f>'Step 7 Final Adjustments'!R43</f>
        <v>2925680.0766603597</v>
      </c>
      <c r="AH43" s="372">
        <f>'Step 7 Final Adjustments'!T43</f>
        <v>2951197</v>
      </c>
      <c r="AI43" s="372">
        <f t="shared" si="7"/>
        <v>-25516.923339640256</v>
      </c>
    </row>
    <row r="44" spans="1:35" ht="15" customHeight="1">
      <c r="W44"/>
      <c r="AA44" s="172" t="s">
        <v>475</v>
      </c>
      <c r="AB44" s="374">
        <f t="shared" si="5"/>
        <v>4832776.9373151492</v>
      </c>
      <c r="AC44" s="374">
        <f t="shared" si="6"/>
        <v>4978877</v>
      </c>
      <c r="AD44" s="374">
        <f t="shared" si="4"/>
        <v>-146100.06268485077</v>
      </c>
      <c r="AE44"/>
      <c r="AF44" s="172" t="s">
        <v>96</v>
      </c>
      <c r="AG44" s="374">
        <f>'Step 7 Final Adjustments'!R44</f>
        <v>11011750.440794896</v>
      </c>
      <c r="AH44" s="374">
        <f>'Step 7 Final Adjustments'!T44</f>
        <v>10531320</v>
      </c>
      <c r="AI44" s="374">
        <f t="shared" si="7"/>
        <v>480430.44079489633</v>
      </c>
    </row>
    <row r="45" spans="1:35">
      <c r="W45"/>
      <c r="AA45" s="49" t="s">
        <v>85</v>
      </c>
      <c r="AB45" s="373">
        <f t="shared" si="5"/>
        <v>1532291.4051178966</v>
      </c>
      <c r="AC45" s="373">
        <f t="shared" si="6"/>
        <v>1507856</v>
      </c>
      <c r="AD45" s="373">
        <f t="shared" si="4"/>
        <v>24435.405117896618</v>
      </c>
      <c r="AE45"/>
      <c r="AF45" s="358" t="s">
        <v>474</v>
      </c>
      <c r="AG45" s="374">
        <f>'Step 7 Final Adjustments'!R45</f>
        <v>5167746.3275012206</v>
      </c>
      <c r="AH45" s="374">
        <f>'Step 7 Final Adjustments'!T45</f>
        <v>6381261</v>
      </c>
      <c r="AI45" s="374">
        <f t="shared" si="7"/>
        <v>-1213514.6724987794</v>
      </c>
    </row>
    <row r="46" spans="1:35">
      <c r="W46"/>
      <c r="AA46" s="359" t="s">
        <v>99</v>
      </c>
      <c r="AB46" s="372">
        <f t="shared" si="5"/>
        <v>8081657.1571420729</v>
      </c>
      <c r="AC46" s="372">
        <f t="shared" si="6"/>
        <v>7933343</v>
      </c>
      <c r="AD46" s="372">
        <f t="shared" si="4"/>
        <v>148314.15714207292</v>
      </c>
      <c r="AE46"/>
      <c r="AF46" s="172" t="s">
        <v>97</v>
      </c>
      <c r="AG46" s="374">
        <f>'Step 7 Final Adjustments'!R46</f>
        <v>2096449.9172718124</v>
      </c>
      <c r="AH46" s="374">
        <f>'Step 7 Final Adjustments'!T46</f>
        <v>1904613</v>
      </c>
      <c r="AI46" s="374">
        <f t="shared" si="7"/>
        <v>191836.91727181245</v>
      </c>
    </row>
    <row r="47" spans="1:35">
      <c r="W47"/>
      <c r="AA47" s="172" t="s">
        <v>100</v>
      </c>
      <c r="AB47" s="373">
        <f t="shared" si="5"/>
        <v>12451020.701590529</v>
      </c>
      <c r="AC47" s="373">
        <f t="shared" si="6"/>
        <v>13396050</v>
      </c>
      <c r="AD47" s="373">
        <f t="shared" si="4"/>
        <v>-945029.29840947129</v>
      </c>
      <c r="AE47"/>
      <c r="AF47" s="173" t="s">
        <v>98</v>
      </c>
      <c r="AG47" s="372">
        <f>'Step 7 Final Adjustments'!R47</f>
        <v>24839940.297978781</v>
      </c>
      <c r="AH47" s="372">
        <f>'Step 7 Final Adjustments'!T47</f>
        <v>23770557</v>
      </c>
      <c r="AI47" s="372">
        <f t="shared" si="7"/>
        <v>1069383.2979787812</v>
      </c>
    </row>
    <row r="48" spans="1:35">
      <c r="W48"/>
      <c r="AA48" s="172" t="s">
        <v>704</v>
      </c>
      <c r="AB48" s="374">
        <f t="shared" si="5"/>
        <v>13530092.502434809</v>
      </c>
      <c r="AC48" s="374">
        <f t="shared" si="6"/>
        <v>13613698</v>
      </c>
      <c r="AD48" s="374">
        <f t="shared" si="4"/>
        <v>-83605.497565191239</v>
      </c>
      <c r="AE48"/>
      <c r="AF48" s="172" t="s">
        <v>475</v>
      </c>
      <c r="AG48" s="374">
        <f>'Step 7 Final Adjustments'!R48</f>
        <v>4832776.9373151492</v>
      </c>
      <c r="AH48" s="374">
        <f>'Step 7 Final Adjustments'!T48</f>
        <v>4978877</v>
      </c>
      <c r="AI48" s="374">
        <f t="shared" si="7"/>
        <v>-146100.06268485077</v>
      </c>
    </row>
    <row r="49" spans="23:35">
      <c r="W49"/>
      <c r="AA49" s="359" t="s">
        <v>102</v>
      </c>
      <c r="AB49" s="372">
        <f t="shared" si="5"/>
        <v>30873619.349242069</v>
      </c>
      <c r="AC49" s="372">
        <f t="shared" si="6"/>
        <v>30168812</v>
      </c>
      <c r="AD49" s="372">
        <f t="shared" si="4"/>
        <v>704807.34924206883</v>
      </c>
      <c r="AE49"/>
      <c r="AF49" s="49" t="s">
        <v>85</v>
      </c>
      <c r="AG49" s="373">
        <f>'Step 7 Final Adjustments'!R49</f>
        <v>1532291.4051178966</v>
      </c>
      <c r="AH49" s="373">
        <f>'Step 7 Final Adjustments'!T49</f>
        <v>1507856</v>
      </c>
      <c r="AI49" s="373">
        <f t="shared" si="7"/>
        <v>24435.405117896618</v>
      </c>
    </row>
    <row r="50" spans="23:35">
      <c r="W50"/>
      <c r="AA50" s="172" t="s">
        <v>103</v>
      </c>
      <c r="AB50" s="373">
        <f t="shared" si="5"/>
        <v>28317453.53944831</v>
      </c>
      <c r="AC50" s="373">
        <f t="shared" si="6"/>
        <v>18588968</v>
      </c>
      <c r="AD50" s="373">
        <f t="shared" si="4"/>
        <v>9728485.5394483097</v>
      </c>
      <c r="AE50"/>
      <c r="AF50" s="359" t="s">
        <v>99</v>
      </c>
      <c r="AG50" s="372">
        <f>'Step 7 Final Adjustments'!R50</f>
        <v>8081657.1571420729</v>
      </c>
      <c r="AH50" s="372">
        <f>'Step 7 Final Adjustments'!T50</f>
        <v>7933343</v>
      </c>
      <c r="AI50" s="372">
        <f t="shared" si="7"/>
        <v>148314.15714207292</v>
      </c>
    </row>
    <row r="51" spans="23:35">
      <c r="W51"/>
      <c r="AA51" s="172" t="s">
        <v>450</v>
      </c>
      <c r="AB51" s="373">
        <f t="shared" si="5"/>
        <v>0</v>
      </c>
      <c r="AC51" s="373">
        <f t="shared" si="6"/>
        <v>0</v>
      </c>
      <c r="AD51" s="373">
        <f t="shared" si="4"/>
        <v>0</v>
      </c>
      <c r="AE51"/>
      <c r="AF51" s="172" t="s">
        <v>100</v>
      </c>
      <c r="AG51" s="373">
        <f>'Step 7 Final Adjustments'!R51</f>
        <v>12451020.701590529</v>
      </c>
      <c r="AH51" s="373">
        <f>'Step 7 Final Adjustments'!T51</f>
        <v>13396050</v>
      </c>
      <c r="AI51" s="373">
        <f t="shared" si="7"/>
        <v>-945029.29840947129</v>
      </c>
    </row>
    <row r="52" spans="23:35">
      <c r="W52"/>
      <c r="AA52" s="377" t="s">
        <v>476</v>
      </c>
      <c r="AB52" s="372">
        <f t="shared" si="5"/>
        <v>869615.4689932483</v>
      </c>
      <c r="AC52" s="372">
        <f t="shared" si="6"/>
        <v>2400967</v>
      </c>
      <c r="AD52" s="372">
        <f t="shared" si="4"/>
        <v>-1531351.5310067516</v>
      </c>
      <c r="AE52"/>
      <c r="AF52" s="172" t="s">
        <v>101</v>
      </c>
      <c r="AG52" s="374">
        <f>'Step 7 Final Adjustments'!R52</f>
        <v>13530092.502434809</v>
      </c>
      <c r="AH52" s="374">
        <f>'Step 7 Final Adjustments'!T52</f>
        <v>13613698</v>
      </c>
      <c r="AI52" s="374">
        <f t="shared" si="7"/>
        <v>-83605.497565191239</v>
      </c>
    </row>
    <row r="53" spans="23:35">
      <c r="W53"/>
      <c r="AA53" s="873" t="s">
        <v>104</v>
      </c>
      <c r="AB53" s="383">
        <f t="shared" si="5"/>
        <v>4412336.8920480274</v>
      </c>
      <c r="AC53" s="383">
        <f t="shared" si="6"/>
        <v>12293440</v>
      </c>
      <c r="AD53" s="383">
        <f t="shared" si="4"/>
        <v>-7881103.1079519726</v>
      </c>
      <c r="AE53"/>
      <c r="AF53" s="359" t="s">
        <v>102</v>
      </c>
      <c r="AG53" s="372">
        <f>'Step 7 Final Adjustments'!R53</f>
        <v>30873619.349242069</v>
      </c>
      <c r="AH53" s="372">
        <f>'Step 7 Final Adjustments'!T53</f>
        <v>30168812</v>
      </c>
      <c r="AI53" s="372">
        <f t="shared" si="7"/>
        <v>704807.34924206883</v>
      </c>
    </row>
    <row r="54" spans="23:35">
      <c r="W54"/>
      <c r="AE54"/>
      <c r="AF54" s="172" t="s">
        <v>103</v>
      </c>
      <c r="AG54" s="373">
        <f>'Step 7 Final Adjustments'!R54</f>
        <v>28317453.53944831</v>
      </c>
      <c r="AH54" s="373">
        <f>'Step 7 Final Adjustments'!T54</f>
        <v>18588968</v>
      </c>
      <c r="AI54" s="373">
        <f t="shared" si="7"/>
        <v>9728485.5394483097</v>
      </c>
    </row>
    <row r="55" spans="23:35">
      <c r="W55"/>
      <c r="AE55"/>
      <c r="AF55" s="172" t="s">
        <v>450</v>
      </c>
      <c r="AG55" s="373">
        <f>'Step 7 Final Adjustments'!R55</f>
        <v>0</v>
      </c>
      <c r="AH55" s="373">
        <f>'Step 7 Final Adjustments'!T55</f>
        <v>0</v>
      </c>
      <c r="AI55" s="373">
        <f t="shared" si="7"/>
        <v>0</v>
      </c>
    </row>
    <row r="56" spans="23:35">
      <c r="W56"/>
      <c r="AA56" s="172" t="s">
        <v>696</v>
      </c>
      <c r="AB56" s="650">
        <f>AG6+AG7</f>
        <v>9795580</v>
      </c>
      <c r="AE56"/>
      <c r="AF56" s="377" t="s">
        <v>476</v>
      </c>
      <c r="AG56" s="372">
        <f>'Step 7 Final Adjustments'!R56</f>
        <v>869615.4689932483</v>
      </c>
      <c r="AH56" s="372">
        <f>'Step 7 Final Adjustments'!T56</f>
        <v>2400967</v>
      </c>
      <c r="AI56" s="372">
        <f t="shared" si="7"/>
        <v>-1531351.5310067516</v>
      </c>
    </row>
    <row r="57" spans="23:35">
      <c r="W57"/>
      <c r="AA57" s="172" t="s">
        <v>695</v>
      </c>
      <c r="AB57" s="650">
        <f>AG8+AG9+AG10</f>
        <v>30543880.986919716</v>
      </c>
      <c r="AF57" s="172" t="s">
        <v>104</v>
      </c>
      <c r="AG57" s="373">
        <f>'Step 7 Final Adjustments'!R57</f>
        <v>4412336.8920480274</v>
      </c>
      <c r="AH57" s="373">
        <f>'Step 7 Final Adjustments'!T57</f>
        <v>12293440</v>
      </c>
      <c r="AI57" s="373">
        <f t="shared" si="7"/>
        <v>-7881103.1079519726</v>
      </c>
    </row>
    <row r="58" spans="23:35">
      <c r="W58"/>
      <c r="AA58" s="172" t="s">
        <v>257</v>
      </c>
      <c r="AB58" s="650">
        <f>AG11</f>
        <v>4500000</v>
      </c>
      <c r="AF58" s="366" t="s">
        <v>105</v>
      </c>
      <c r="AG58" s="367">
        <f>SUM(AG39:AG57)</f>
        <v>172754776.68580568</v>
      </c>
      <c r="AH58" s="367">
        <f>SUM(AH39:AH57)</f>
        <v>172113020</v>
      </c>
      <c r="AI58" s="367">
        <f>SUM(AI39:AI57)</f>
        <v>69516.68580567278</v>
      </c>
    </row>
    <row r="59" spans="23:35" ht="16.5" thickBot="1">
      <c r="AF59" s="368" t="s">
        <v>106</v>
      </c>
      <c r="AG59" s="369">
        <f>SUM(AG6:AG12)+AG35+AG58</f>
        <v>597416226.57626891</v>
      </c>
      <c r="AH59" s="369">
        <f>SUM(AH6:AH12)+AH35+AH58</f>
        <v>574133379.23672247</v>
      </c>
      <c r="AI59" s="369"/>
    </row>
    <row r="60" spans="23:35" ht="16.5" thickTop="1">
      <c r="AB60" s="650">
        <f>SUM(AB7:AB58)</f>
        <v>572354579.80626881</v>
      </c>
      <c r="AG60"/>
      <c r="AH60"/>
    </row>
    <row r="61" spans="23:35">
      <c r="AF61" s="271" t="s">
        <v>643</v>
      </c>
      <c r="AG61" t="str">
        <f>IF(AG59='Step 0 FY20 Revenue'!L59,"Yes", "NO!!!")</f>
        <v>Yes</v>
      </c>
      <c r="AH61"/>
    </row>
    <row r="62" spans="23:35">
      <c r="AD62" s="650"/>
      <c r="AE62" s="275"/>
      <c r="AG62"/>
      <c r="AH62"/>
    </row>
    <row r="63" spans="23:35">
      <c r="AD63" s="650"/>
      <c r="AE63" s="275"/>
      <c r="AG63"/>
      <c r="AH63"/>
    </row>
    <row r="64" spans="23:35">
      <c r="AE64" s="275"/>
      <c r="AG64"/>
      <c r="AH64"/>
    </row>
    <row r="65" spans="31:40">
      <c r="AE65" s="275"/>
    </row>
    <row r="66" spans="31:40">
      <c r="AE66" s="275"/>
      <c r="AJ66" s="275"/>
      <c r="AK66" s="275"/>
      <c r="AL66" s="275"/>
      <c r="AM66" s="275"/>
      <c r="AN66" s="275"/>
    </row>
    <row r="67" spans="31:40">
      <c r="AE67" s="275"/>
      <c r="AJ67" s="275"/>
      <c r="AK67" s="275"/>
      <c r="AL67" s="275"/>
      <c r="AM67" s="275"/>
      <c r="AN67" s="275"/>
    </row>
    <row r="68" spans="31:40">
      <c r="AE68" s="275"/>
      <c r="AJ68" s="275"/>
      <c r="AK68" s="275"/>
      <c r="AL68" s="275"/>
      <c r="AM68" s="275"/>
      <c r="AN68" s="275"/>
    </row>
    <row r="69" spans="31:40">
      <c r="AE69" s="275"/>
      <c r="AF69" s="275"/>
      <c r="AG69" s="275"/>
      <c r="AH69" s="275"/>
      <c r="AI69" s="275"/>
      <c r="AJ69" s="275"/>
      <c r="AK69" s="275"/>
      <c r="AL69" s="275"/>
      <c r="AM69" s="275"/>
      <c r="AN69" s="275"/>
    </row>
    <row r="70" spans="31:40">
      <c r="AF70" s="275"/>
      <c r="AG70" s="275"/>
      <c r="AH70" s="275"/>
      <c r="AI70" s="275"/>
    </row>
    <row r="71" spans="31:40">
      <c r="AF71" s="275"/>
      <c r="AG71" s="275"/>
      <c r="AH71" s="275"/>
      <c r="AI71" s="275"/>
    </row>
    <row r="72" spans="31:40">
      <c r="AF72" s="275"/>
      <c r="AG72" s="275"/>
      <c r="AH72" s="275"/>
      <c r="AI72" s="275"/>
    </row>
  </sheetData>
  <mergeCells count="2">
    <mergeCell ref="AI6:AI11"/>
    <mergeCell ref="A3:F3"/>
  </mergeCells>
  <pageMargins left="0.75" right="0.75" top="1" bottom="1" header="0.5" footer="0.5"/>
  <pageSetup orientation="portrait" horizontalDpi="4294967292" verticalDpi="4294967292"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208"/>
  <sheetViews>
    <sheetView topLeftCell="A7" zoomScale="103" workbookViewId="0">
      <selection activeCell="AO13" sqref="AO13"/>
    </sheetView>
  </sheetViews>
  <sheetFormatPr defaultColWidth="11" defaultRowHeight="15.75"/>
  <cols>
    <col min="1" max="1" width="33" customWidth="1"/>
    <col min="7" max="7" width="33" customWidth="1"/>
    <col min="17" max="17" width="11.125" bestFit="1" customWidth="1"/>
  </cols>
  <sheetData>
    <row r="1" spans="1:42">
      <c r="A1" t="s">
        <v>1632</v>
      </c>
      <c r="G1" t="s">
        <v>1632</v>
      </c>
    </row>
    <row r="2" spans="1:42">
      <c r="A2" t="s">
        <v>1633</v>
      </c>
      <c r="G2" t="s">
        <v>1633</v>
      </c>
    </row>
    <row r="3" spans="1:42">
      <c r="A3" t="s">
        <v>1634</v>
      </c>
      <c r="B3" t="s">
        <v>176</v>
      </c>
    </row>
    <row r="4" spans="1:42">
      <c r="A4" t="s">
        <v>1737</v>
      </c>
      <c r="B4" t="s">
        <v>176</v>
      </c>
      <c r="AF4" t="s">
        <v>1738</v>
      </c>
      <c r="AL4" t="s">
        <v>1739</v>
      </c>
    </row>
    <row r="5" spans="1:42">
      <c r="A5" s="432"/>
      <c r="B5" s="1672" t="s">
        <v>510</v>
      </c>
      <c r="C5" s="1672">
        <v>2017</v>
      </c>
      <c r="D5" s="1672">
        <v>2018</v>
      </c>
      <c r="E5" s="1672" t="s">
        <v>1635</v>
      </c>
      <c r="G5" s="432"/>
      <c r="H5" s="1672" t="s">
        <v>510</v>
      </c>
      <c r="I5" s="1672">
        <v>2017</v>
      </c>
      <c r="J5" s="1672">
        <v>2018</v>
      </c>
      <c r="K5" s="1672" t="s">
        <v>1635</v>
      </c>
      <c r="M5" s="209"/>
      <c r="N5" s="1774" t="s">
        <v>417</v>
      </c>
      <c r="O5" s="1774" t="s">
        <v>812</v>
      </c>
      <c r="P5" s="1774" t="s">
        <v>840</v>
      </c>
      <c r="Q5" s="849" t="s">
        <v>1213</v>
      </c>
      <c r="S5" s="550"/>
      <c r="T5" s="433">
        <v>2016</v>
      </c>
      <c r="U5" s="433">
        <v>2017</v>
      </c>
      <c r="V5" s="433">
        <v>2018</v>
      </c>
      <c r="W5" s="433" t="s">
        <v>1581</v>
      </c>
      <c r="Y5" s="452"/>
      <c r="Z5" s="433" t="s">
        <v>417</v>
      </c>
      <c r="AA5" s="433" t="s">
        <v>812</v>
      </c>
      <c r="AB5" s="433" t="s">
        <v>840</v>
      </c>
      <c r="AC5" s="433" t="s">
        <v>1213</v>
      </c>
      <c r="AF5" s="209"/>
      <c r="AG5" s="1774" t="s">
        <v>417</v>
      </c>
      <c r="AH5" s="1774" t="s">
        <v>812</v>
      </c>
      <c r="AI5" s="1774" t="s">
        <v>840</v>
      </c>
      <c r="AJ5" s="849" t="s">
        <v>1213</v>
      </c>
      <c r="AL5" s="209"/>
      <c r="AM5" s="1774" t="s">
        <v>417</v>
      </c>
      <c r="AN5" s="1774" t="s">
        <v>812</v>
      </c>
      <c r="AO5" s="1774" t="s">
        <v>840</v>
      </c>
      <c r="AP5" s="849" t="s">
        <v>1213</v>
      </c>
    </row>
    <row r="6" spans="1:42">
      <c r="A6" s="434"/>
      <c r="G6" s="434"/>
      <c r="H6" s="148"/>
      <c r="I6" s="148"/>
      <c r="J6" s="148"/>
      <c r="K6" s="148"/>
      <c r="Y6" s="452"/>
      <c r="Z6" s="452"/>
      <c r="AA6" s="452"/>
      <c r="AB6" s="452"/>
      <c r="AC6" s="452"/>
    </row>
    <row r="7" spans="1:42">
      <c r="A7" s="434" t="s">
        <v>13</v>
      </c>
      <c r="B7" s="435">
        <f>SUM(B9,B30,B52,B75,B96,B122,B145,B100)</f>
        <v>870015</v>
      </c>
      <c r="C7" s="435">
        <f>SUM(C9,C30,C52,C75,C96,C122,C145,C100)</f>
        <v>865525</v>
      </c>
      <c r="D7" s="435">
        <f>SUM(D9,D30,D52,D75,D96,D122,D145,D100)</f>
        <v>850665</v>
      </c>
      <c r="E7" s="435">
        <f>SUM(E9,E30,E52,E75,E96,E122,E145,E100)</f>
        <v>827924</v>
      </c>
      <c r="F7" s="435">
        <f>SUM(F9,F30,F52,F75,F96,F122,F145,F100)</f>
        <v>827924</v>
      </c>
      <c r="G7" s="434"/>
      <c r="H7" s="435">
        <f>SUM(H9,H30,H52,H75,H96,H122,H145,H100)</f>
        <v>870015</v>
      </c>
      <c r="I7" s="435">
        <f>SUM(I9,I30,I52,I75,I96,I122,I145,I100)</f>
        <v>865525</v>
      </c>
      <c r="J7" s="435">
        <f>SUM(J9,J30,J52,J75,J96,J122,J145,J100)</f>
        <v>850665</v>
      </c>
      <c r="K7" s="435">
        <f>SUM(K9,K30,K52,K75,K96,K122,K145,K100)</f>
        <v>827924</v>
      </c>
      <c r="T7" s="435">
        <f>SUM(T9,T30,T52,T75,T96,T122,T145,T100)</f>
        <v>0</v>
      </c>
      <c r="U7" s="435">
        <f>SUM(U9,U30,U52,U75,U96,U122,U145,U100)</f>
        <v>0</v>
      </c>
      <c r="V7" s="435">
        <f>SUM(V9,V30,V52,V75,V96,V122,V145,V100)</f>
        <v>0</v>
      </c>
      <c r="W7" s="435">
        <f>SUM(W9,W30,W52,W75,W96,W122,W145,W100)</f>
        <v>0</v>
      </c>
      <c r="Y7" s="1673"/>
      <c r="Z7" s="435">
        <f>SUM(Z9,Z30,Z52,Z75,Z96,Z122,Z145,Z100)</f>
        <v>7188</v>
      </c>
      <c r="AA7" s="435">
        <f>SUM(AA9,AA30,AA52,AA75,AA96,AA122,AA145,AA100)</f>
        <v>8328</v>
      </c>
      <c r="AB7" s="435">
        <f>SUM(AB9,AB30,AB52,AB75,AB96,AB122,AB145,AB100)</f>
        <v>9398</v>
      </c>
      <c r="AC7" s="435">
        <f>SUM(AC9,AC30,AC52,AC75,AC96,AC122,AC145,AC100)</f>
        <v>11052</v>
      </c>
    </row>
    <row r="8" spans="1:42">
      <c r="A8" s="434"/>
      <c r="G8" s="434"/>
      <c r="H8" s="435"/>
      <c r="I8" s="435"/>
      <c r="J8" s="435"/>
      <c r="K8" s="1186"/>
      <c r="M8" t="s">
        <v>1636</v>
      </c>
      <c r="Y8" s="434"/>
      <c r="Z8" s="434"/>
      <c r="AA8" s="434"/>
      <c r="AB8" s="434"/>
      <c r="AC8" s="434"/>
      <c r="AF8" t="s">
        <v>1636</v>
      </c>
      <c r="AL8" t="s">
        <v>1636</v>
      </c>
    </row>
    <row r="9" spans="1:42">
      <c r="A9" s="437" t="s">
        <v>511</v>
      </c>
      <c r="B9" s="455">
        <f>H9+T9</f>
        <v>16937</v>
      </c>
      <c r="C9" s="455">
        <f>I9+U9</f>
        <v>16082</v>
      </c>
      <c r="D9" s="455">
        <f>J9+V9</f>
        <v>14018</v>
      </c>
      <c r="E9" s="455">
        <f>K9+W9+Q9</f>
        <v>12410</v>
      </c>
      <c r="F9">
        <v>12410</v>
      </c>
      <c r="G9" s="437" t="s">
        <v>511</v>
      </c>
      <c r="H9" s="435">
        <v>16937</v>
      </c>
      <c r="I9" s="435">
        <v>16082</v>
      </c>
      <c r="J9" s="435">
        <v>14018</v>
      </c>
      <c r="K9" s="1186">
        <v>12410</v>
      </c>
      <c r="Y9" s="437"/>
      <c r="Z9" s="437">
        <v>0</v>
      </c>
      <c r="AA9" s="437">
        <v>0</v>
      </c>
      <c r="AB9" s="437">
        <v>18</v>
      </c>
      <c r="AC9" s="437">
        <v>75</v>
      </c>
    </row>
    <row r="10" spans="1:42">
      <c r="A10" s="434"/>
      <c r="G10" s="434"/>
      <c r="H10" s="434"/>
      <c r="I10" s="434"/>
      <c r="J10" s="434"/>
      <c r="K10" s="1188"/>
      <c r="Y10" s="452"/>
      <c r="Z10" s="452"/>
      <c r="AA10" s="452"/>
      <c r="AB10" s="452"/>
      <c r="AC10" s="452"/>
    </row>
    <row r="11" spans="1:42">
      <c r="A11" s="439" t="s">
        <v>512</v>
      </c>
      <c r="G11" s="439" t="s">
        <v>512</v>
      </c>
      <c r="H11" s="440"/>
      <c r="I11" s="440"/>
      <c r="J11" s="440"/>
      <c r="K11" s="1674"/>
      <c r="M11" s="439"/>
      <c r="N11" s="1680"/>
      <c r="O11" s="1680"/>
      <c r="P11" s="1680"/>
      <c r="Y11" s="1675"/>
      <c r="Z11" s="1675"/>
      <c r="AA11" s="1675"/>
      <c r="AB11" s="1675"/>
      <c r="AC11" s="1675"/>
      <c r="AF11" s="439"/>
      <c r="AG11" s="1680"/>
      <c r="AH11" s="1680"/>
      <c r="AI11" s="1680"/>
      <c r="AL11" s="439"/>
      <c r="AM11" s="1680"/>
      <c r="AN11" s="1680"/>
      <c r="AO11" s="1680"/>
    </row>
    <row r="12" spans="1:42">
      <c r="A12" s="441" t="s">
        <v>513</v>
      </c>
      <c r="B12" s="455">
        <f>H12+T12</f>
        <v>5425</v>
      </c>
      <c r="C12" s="455">
        <f>I12+U12</f>
        <v>4824</v>
      </c>
      <c r="D12" s="455">
        <f>J12+V12</f>
        <v>5021</v>
      </c>
      <c r="E12" s="455">
        <f>K12+W12+Q12</f>
        <v>4135</v>
      </c>
      <c r="G12" s="441" t="s">
        <v>513</v>
      </c>
      <c r="H12" s="435">
        <v>5425</v>
      </c>
      <c r="I12" s="435">
        <v>4824</v>
      </c>
      <c r="J12" s="435">
        <v>5021</v>
      </c>
      <c r="K12" s="1186">
        <v>4135</v>
      </c>
      <c r="M12" s="441" t="s">
        <v>513</v>
      </c>
      <c r="N12" s="445"/>
      <c r="O12" s="445"/>
      <c r="P12" s="445"/>
      <c r="Y12" s="445"/>
      <c r="Z12" s="445"/>
      <c r="AA12" s="445"/>
      <c r="AB12" s="445"/>
      <c r="AC12" s="445"/>
      <c r="AF12" s="441" t="s">
        <v>513</v>
      </c>
      <c r="AG12" s="445"/>
      <c r="AH12" s="445"/>
      <c r="AI12" s="445"/>
      <c r="AL12" s="441" t="s">
        <v>513</v>
      </c>
      <c r="AM12" s="445"/>
      <c r="AN12" s="445"/>
      <c r="AO12" s="445"/>
    </row>
    <row r="13" spans="1:42">
      <c r="A13" s="441" t="s">
        <v>6</v>
      </c>
      <c r="B13" s="455">
        <f>H13+T13+N13</f>
        <v>22359</v>
      </c>
      <c r="C13" s="455">
        <f>I13+U13+O13</f>
        <v>22505</v>
      </c>
      <c r="D13" s="455">
        <f>J13+V13+P13</f>
        <v>26606</v>
      </c>
      <c r="E13" s="455">
        <f t="shared" ref="E13:E23" si="0">K13+W13+Q13</f>
        <v>32699</v>
      </c>
      <c r="G13" s="441" t="s">
        <v>6</v>
      </c>
      <c r="H13" s="435">
        <v>4569</v>
      </c>
      <c r="I13" s="435">
        <v>4139</v>
      </c>
      <c r="J13" s="435">
        <v>1851</v>
      </c>
      <c r="K13" s="1186">
        <v>31725</v>
      </c>
      <c r="M13" s="441" t="s">
        <v>6</v>
      </c>
      <c r="N13" s="445">
        <f>IF($B$4="no",AG13,AM13)</f>
        <v>17790</v>
      </c>
      <c r="O13" s="445">
        <f t="shared" ref="O13:O23" si="1">IF($B$4="no",AH13,AN13)</f>
        <v>18366</v>
      </c>
      <c r="P13" s="445">
        <f t="shared" ref="P13:P23" si="2">IF($B$4="no",AI13,AO13)</f>
        <v>24755</v>
      </c>
      <c r="Q13" s="445">
        <f t="shared" ref="Q13:Q23" si="3">IF($B$4="no",AJ13,AP13)</f>
        <v>974</v>
      </c>
      <c r="Y13" s="445"/>
      <c r="Z13" s="445"/>
      <c r="AA13" s="445"/>
      <c r="AB13" s="445"/>
      <c r="AC13" s="445"/>
      <c r="AF13" s="441" t="s">
        <v>6</v>
      </c>
      <c r="AG13" s="445"/>
      <c r="AH13" s="445"/>
      <c r="AI13" s="445"/>
      <c r="AJ13" s="1676">
        <f>-AJ35</f>
        <v>-27494</v>
      </c>
      <c r="AL13" s="441" t="s">
        <v>6</v>
      </c>
      <c r="AM13" s="445">
        <f>-AM35</f>
        <v>17790</v>
      </c>
      <c r="AN13" s="445">
        <f t="shared" ref="AN13:AP15" si="4">-AN35</f>
        <v>18366</v>
      </c>
      <c r="AO13" s="445">
        <f t="shared" si="4"/>
        <v>24755</v>
      </c>
      <c r="AP13" s="445">
        <f t="shared" si="4"/>
        <v>974</v>
      </c>
    </row>
    <row r="14" spans="1:42">
      <c r="A14" s="441" t="s">
        <v>8</v>
      </c>
      <c r="B14" s="455">
        <f t="shared" ref="B14:B23" si="5">H14+T14</f>
        <v>54</v>
      </c>
      <c r="C14" s="455">
        <f>I14+U14</f>
        <v>36</v>
      </c>
      <c r="D14" s="455">
        <f>J14+V14</f>
        <v>24</v>
      </c>
      <c r="E14" s="455">
        <f t="shared" si="0"/>
        <v>63</v>
      </c>
      <c r="G14" s="441" t="s">
        <v>8</v>
      </c>
      <c r="H14" s="435">
        <v>54</v>
      </c>
      <c r="I14" s="435">
        <v>36</v>
      </c>
      <c r="J14" s="435">
        <v>24</v>
      </c>
      <c r="K14" s="1186">
        <v>63</v>
      </c>
      <c r="M14" s="441" t="s">
        <v>8</v>
      </c>
      <c r="N14" s="445">
        <f t="shared" ref="N14:N23" si="6">IF($B$4="no",AG14,AM14)</f>
        <v>0</v>
      </c>
      <c r="O14" s="445">
        <f t="shared" si="1"/>
        <v>0</v>
      </c>
      <c r="P14" s="445">
        <f t="shared" si="2"/>
        <v>0</v>
      </c>
      <c r="Q14" s="445">
        <f t="shared" si="3"/>
        <v>0</v>
      </c>
      <c r="Y14" s="445"/>
      <c r="Z14" s="445"/>
      <c r="AA14" s="445"/>
      <c r="AB14" s="445"/>
      <c r="AC14" s="445"/>
      <c r="AF14" s="441" t="s">
        <v>8</v>
      </c>
      <c r="AG14" s="445"/>
      <c r="AH14" s="445"/>
      <c r="AI14" s="445"/>
      <c r="AJ14" s="1676"/>
      <c r="AL14" s="441" t="s">
        <v>8</v>
      </c>
      <c r="AM14" s="445"/>
      <c r="AN14" s="445"/>
      <c r="AO14" s="445"/>
      <c r="AP14" s="1676"/>
    </row>
    <row r="15" spans="1:42">
      <c r="A15" s="442" t="s">
        <v>2</v>
      </c>
      <c r="B15" s="455">
        <f>H15+T15+N15</f>
        <v>2812</v>
      </c>
      <c r="C15" s="455">
        <f>I15+U15+O15</f>
        <v>2594</v>
      </c>
      <c r="D15" s="455">
        <f>J15+V15+P15</f>
        <v>2431</v>
      </c>
      <c r="E15" s="455">
        <f>K15+W15+Q15</f>
        <v>2466</v>
      </c>
      <c r="G15" s="442" t="s">
        <v>2</v>
      </c>
      <c r="H15" s="443">
        <v>1331</v>
      </c>
      <c r="I15" s="443">
        <v>1027</v>
      </c>
      <c r="J15" s="443">
        <v>981</v>
      </c>
      <c r="K15" s="1187">
        <v>1191</v>
      </c>
      <c r="M15" s="442" t="s">
        <v>2</v>
      </c>
      <c r="N15" s="445">
        <f t="shared" si="6"/>
        <v>1481</v>
      </c>
      <c r="O15" s="445">
        <f t="shared" si="1"/>
        <v>1567</v>
      </c>
      <c r="P15" s="445">
        <f t="shared" si="2"/>
        <v>1450</v>
      </c>
      <c r="Q15" s="445">
        <f t="shared" si="3"/>
        <v>1275</v>
      </c>
      <c r="Y15" s="445"/>
      <c r="Z15" s="445"/>
      <c r="AA15" s="445"/>
      <c r="AB15" s="445"/>
      <c r="AC15" s="445"/>
      <c r="AF15" s="442" t="s">
        <v>2</v>
      </c>
      <c r="AG15" s="1775"/>
      <c r="AH15" s="1775"/>
      <c r="AI15" s="1775"/>
      <c r="AL15" s="442" t="s">
        <v>2</v>
      </c>
      <c r="AM15" s="445">
        <f>-AM37</f>
        <v>1481</v>
      </c>
      <c r="AN15" s="445">
        <f t="shared" si="4"/>
        <v>1567</v>
      </c>
      <c r="AO15" s="445">
        <f t="shared" si="4"/>
        <v>1450</v>
      </c>
      <c r="AP15" s="445">
        <f t="shared" si="4"/>
        <v>1275</v>
      </c>
    </row>
    <row r="16" spans="1:42">
      <c r="A16" s="441" t="s">
        <v>10</v>
      </c>
      <c r="B16" s="455">
        <f t="shared" si="5"/>
        <v>2</v>
      </c>
      <c r="C16" s="455">
        <f t="shared" ref="C16:D20" si="7">I16+U16</f>
        <v>0</v>
      </c>
      <c r="D16" s="455">
        <f t="shared" si="7"/>
        <v>0</v>
      </c>
      <c r="E16" s="455">
        <f t="shared" si="0"/>
        <v>0</v>
      </c>
      <c r="G16" s="441" t="s">
        <v>10</v>
      </c>
      <c r="H16" s="435">
        <v>2</v>
      </c>
      <c r="I16" s="435">
        <v>0</v>
      </c>
      <c r="J16" s="435">
        <v>0</v>
      </c>
      <c r="K16" s="1186">
        <v>0</v>
      </c>
      <c r="M16" s="441" t="s">
        <v>10</v>
      </c>
      <c r="N16" s="445">
        <f t="shared" si="6"/>
        <v>0</v>
      </c>
      <c r="O16" s="445">
        <f t="shared" si="1"/>
        <v>0</v>
      </c>
      <c r="P16" s="445">
        <f t="shared" si="2"/>
        <v>0</v>
      </c>
      <c r="Q16" s="445">
        <f t="shared" si="3"/>
        <v>0</v>
      </c>
      <c r="Y16" s="445"/>
      <c r="Z16" s="445"/>
      <c r="AA16" s="445"/>
      <c r="AB16" s="445"/>
      <c r="AC16" s="445"/>
      <c r="AF16" s="441" t="s">
        <v>10</v>
      </c>
      <c r="AG16" s="445"/>
      <c r="AH16" s="445"/>
      <c r="AI16" s="445"/>
      <c r="AJ16" s="1676"/>
      <c r="AL16" s="441" t="s">
        <v>10</v>
      </c>
      <c r="AM16" s="445"/>
      <c r="AN16" s="445"/>
      <c r="AO16" s="445"/>
      <c r="AP16" s="1676"/>
    </row>
    <row r="17" spans="1:42">
      <c r="A17" s="441" t="s">
        <v>4</v>
      </c>
      <c r="B17" s="455">
        <f t="shared" si="5"/>
        <v>32913</v>
      </c>
      <c r="C17" s="455">
        <f t="shared" si="7"/>
        <v>32727</v>
      </c>
      <c r="D17" s="455">
        <f t="shared" si="7"/>
        <v>34005</v>
      </c>
      <c r="E17" s="455">
        <f t="shared" si="0"/>
        <v>34197</v>
      </c>
      <c r="G17" s="441" t="s">
        <v>4</v>
      </c>
      <c r="H17" s="435">
        <v>32913</v>
      </c>
      <c r="I17" s="435">
        <v>32727</v>
      </c>
      <c r="J17" s="435">
        <v>34005</v>
      </c>
      <c r="K17" s="1186">
        <v>34197</v>
      </c>
      <c r="M17" s="441" t="s">
        <v>4</v>
      </c>
      <c r="N17" s="445">
        <f t="shared" si="6"/>
        <v>0</v>
      </c>
      <c r="O17" s="445">
        <f t="shared" si="1"/>
        <v>0</v>
      </c>
      <c r="P17" s="445">
        <f t="shared" si="2"/>
        <v>0</v>
      </c>
      <c r="Q17" s="445">
        <f t="shared" si="3"/>
        <v>0</v>
      </c>
      <c r="Y17" s="445"/>
      <c r="Z17" s="445"/>
      <c r="AA17" s="445"/>
      <c r="AB17" s="445"/>
      <c r="AC17" s="445"/>
      <c r="AF17" s="441" t="s">
        <v>4</v>
      </c>
      <c r="AG17" s="445"/>
      <c r="AH17" s="445"/>
      <c r="AI17" s="445"/>
      <c r="AJ17" s="1676"/>
      <c r="AL17" s="441" t="s">
        <v>4</v>
      </c>
      <c r="AM17" s="445"/>
      <c r="AN17" s="445"/>
      <c r="AO17" s="445"/>
      <c r="AP17" s="1676"/>
    </row>
    <row r="18" spans="1:42">
      <c r="A18" s="441" t="s">
        <v>14</v>
      </c>
      <c r="B18" s="455">
        <f t="shared" si="5"/>
        <v>0</v>
      </c>
      <c r="C18" s="455">
        <f t="shared" si="7"/>
        <v>0</v>
      </c>
      <c r="D18" s="455">
        <f t="shared" si="7"/>
        <v>0</v>
      </c>
      <c r="E18" s="455">
        <f t="shared" si="0"/>
        <v>0</v>
      </c>
      <c r="G18" s="441" t="s">
        <v>14</v>
      </c>
      <c r="H18" s="434">
        <v>0</v>
      </c>
      <c r="I18" s="434">
        <v>0</v>
      </c>
      <c r="J18" s="434">
        <v>0</v>
      </c>
      <c r="K18" s="1186">
        <v>0</v>
      </c>
      <c r="M18" s="441" t="s">
        <v>14</v>
      </c>
      <c r="N18" s="445">
        <f t="shared" si="6"/>
        <v>0</v>
      </c>
      <c r="O18" s="445">
        <f t="shared" si="1"/>
        <v>0</v>
      </c>
      <c r="P18" s="445">
        <f t="shared" si="2"/>
        <v>0</v>
      </c>
      <c r="Q18" s="445">
        <f t="shared" si="3"/>
        <v>0</v>
      </c>
      <c r="Y18" s="445"/>
      <c r="Z18" s="445"/>
      <c r="AA18" s="445"/>
      <c r="AB18" s="445"/>
      <c r="AC18" s="445"/>
      <c r="AF18" s="441" t="s">
        <v>14</v>
      </c>
      <c r="AG18" s="445"/>
      <c r="AH18" s="445"/>
      <c r="AI18" s="445"/>
      <c r="AL18" s="441" t="s">
        <v>14</v>
      </c>
      <c r="AM18" s="445"/>
      <c r="AN18" s="445"/>
      <c r="AO18" s="445"/>
    </row>
    <row r="19" spans="1:42">
      <c r="A19" s="442" t="s">
        <v>17</v>
      </c>
      <c r="B19" s="455">
        <f t="shared" si="5"/>
        <v>29782</v>
      </c>
      <c r="C19" s="455">
        <f t="shared" si="7"/>
        <v>33148</v>
      </c>
      <c r="D19" s="455">
        <f t="shared" si="7"/>
        <v>31249</v>
      </c>
      <c r="E19" s="455">
        <f t="shared" si="0"/>
        <v>27918</v>
      </c>
      <c r="G19" s="442" t="s">
        <v>17</v>
      </c>
      <c r="H19" s="443">
        <v>29782</v>
      </c>
      <c r="I19" s="443">
        <v>33148</v>
      </c>
      <c r="J19" s="443">
        <v>31249</v>
      </c>
      <c r="K19" s="1187">
        <v>27918</v>
      </c>
      <c r="M19" s="442" t="s">
        <v>17</v>
      </c>
      <c r="N19" s="445">
        <f t="shared" si="6"/>
        <v>0</v>
      </c>
      <c r="O19" s="445">
        <f t="shared" si="1"/>
        <v>0</v>
      </c>
      <c r="P19" s="445">
        <f t="shared" si="2"/>
        <v>0</v>
      </c>
      <c r="Q19" s="445">
        <f t="shared" si="3"/>
        <v>0</v>
      </c>
      <c r="Y19" s="445"/>
      <c r="Z19" s="445"/>
      <c r="AA19" s="445"/>
      <c r="AB19" s="445"/>
      <c r="AC19" s="445"/>
      <c r="AF19" s="442" t="s">
        <v>17</v>
      </c>
      <c r="AG19" s="1775"/>
      <c r="AH19" s="1775"/>
      <c r="AI19" s="1775"/>
      <c r="AJ19" s="1676"/>
      <c r="AL19" s="442" t="s">
        <v>17</v>
      </c>
      <c r="AM19" s="1775"/>
      <c r="AN19" s="1775"/>
      <c r="AO19" s="1775"/>
      <c r="AP19" s="1676"/>
    </row>
    <row r="20" spans="1:42">
      <c r="A20" s="441" t="s">
        <v>316</v>
      </c>
      <c r="B20" s="455">
        <f t="shared" si="5"/>
        <v>0</v>
      </c>
      <c r="C20" s="455">
        <f t="shared" si="7"/>
        <v>0</v>
      </c>
      <c r="D20" s="455">
        <f t="shared" si="7"/>
        <v>0</v>
      </c>
      <c r="E20" s="455">
        <f t="shared" si="0"/>
        <v>0</v>
      </c>
      <c r="G20" s="441" t="s">
        <v>316</v>
      </c>
      <c r="H20" s="434">
        <v>0</v>
      </c>
      <c r="I20" s="434">
        <v>0</v>
      </c>
      <c r="J20" s="434">
        <v>0</v>
      </c>
      <c r="K20" s="1186">
        <v>0</v>
      </c>
      <c r="M20" s="441" t="s">
        <v>316</v>
      </c>
      <c r="N20" s="445">
        <f t="shared" si="6"/>
        <v>0</v>
      </c>
      <c r="O20" s="445">
        <f t="shared" si="1"/>
        <v>0</v>
      </c>
      <c r="P20" s="445">
        <f t="shared" si="2"/>
        <v>0</v>
      </c>
      <c r="Q20" s="445">
        <f t="shared" si="3"/>
        <v>0</v>
      </c>
      <c r="Y20" s="445"/>
      <c r="Z20" s="445"/>
      <c r="AA20" s="445"/>
      <c r="AB20" s="445"/>
      <c r="AC20" s="445"/>
      <c r="AF20" s="441" t="s">
        <v>316</v>
      </c>
      <c r="AG20" s="445"/>
      <c r="AH20" s="445"/>
      <c r="AI20" s="445"/>
      <c r="AJ20" s="1676"/>
      <c r="AL20" s="441" t="s">
        <v>316</v>
      </c>
      <c r="AM20" s="445"/>
      <c r="AN20" s="445"/>
      <c r="AO20" s="445"/>
      <c r="AP20" s="1676"/>
    </row>
    <row r="21" spans="1:42">
      <c r="A21" s="441" t="s">
        <v>7</v>
      </c>
      <c r="B21" s="455">
        <f>H21+T21+N21</f>
        <v>33431</v>
      </c>
      <c r="C21" s="455">
        <f>I21+U21+O21</f>
        <v>33875</v>
      </c>
      <c r="D21" s="455">
        <f>J21+V21+P21</f>
        <v>33130</v>
      </c>
      <c r="E21" s="455">
        <f>K21+W21+Q21</f>
        <v>33204</v>
      </c>
      <c r="G21" s="441" t="s">
        <v>7</v>
      </c>
      <c r="H21" s="435">
        <v>3227</v>
      </c>
      <c r="I21" s="435">
        <v>3058</v>
      </c>
      <c r="J21" s="435">
        <v>3021</v>
      </c>
      <c r="K21" s="1186">
        <v>2911</v>
      </c>
      <c r="M21" s="441" t="s">
        <v>7</v>
      </c>
      <c r="N21" s="445">
        <f t="shared" si="6"/>
        <v>30204</v>
      </c>
      <c r="O21" s="445">
        <f t="shared" si="1"/>
        <v>30817</v>
      </c>
      <c r="P21" s="445">
        <f t="shared" si="2"/>
        <v>30109</v>
      </c>
      <c r="Q21" s="445">
        <f t="shared" si="3"/>
        <v>30293</v>
      </c>
      <c r="Y21" s="445"/>
      <c r="Z21" s="445"/>
      <c r="AA21" s="445"/>
      <c r="AB21" s="445"/>
      <c r="AC21" s="445"/>
      <c r="AF21" s="441" t="s">
        <v>7</v>
      </c>
      <c r="AG21" s="445"/>
      <c r="AH21" s="445"/>
      <c r="AI21" s="445"/>
      <c r="AL21" s="441" t="s">
        <v>7</v>
      </c>
      <c r="AM21" s="445">
        <f>-AM43</f>
        <v>30204</v>
      </c>
      <c r="AN21" s="445">
        <f>-AN43</f>
        <v>30817</v>
      </c>
      <c r="AO21" s="445">
        <f>-AO43</f>
        <v>30109</v>
      </c>
      <c r="AP21" s="445">
        <f>-AP43</f>
        <v>30293</v>
      </c>
    </row>
    <row r="22" spans="1:42">
      <c r="A22" s="441" t="s">
        <v>514</v>
      </c>
      <c r="B22" s="455">
        <f t="shared" si="5"/>
        <v>10818</v>
      </c>
      <c r="C22" s="455">
        <f>I22+U22</f>
        <v>9299</v>
      </c>
      <c r="D22" s="455">
        <f>J22+V22</f>
        <v>8090</v>
      </c>
      <c r="E22" s="455">
        <f t="shared" si="0"/>
        <v>6751</v>
      </c>
      <c r="G22" s="441" t="s">
        <v>514</v>
      </c>
      <c r="H22" s="435">
        <v>10818</v>
      </c>
      <c r="I22" s="435">
        <v>9299</v>
      </c>
      <c r="J22" s="435">
        <v>8090</v>
      </c>
      <c r="K22" s="1186">
        <v>6751</v>
      </c>
      <c r="M22" s="441" t="s">
        <v>514</v>
      </c>
      <c r="N22" s="445">
        <f t="shared" si="6"/>
        <v>0</v>
      </c>
      <c r="O22" s="445">
        <f t="shared" si="1"/>
        <v>0</v>
      </c>
      <c r="P22" s="445">
        <f t="shared" si="2"/>
        <v>0</v>
      </c>
      <c r="Q22" s="445">
        <f t="shared" si="3"/>
        <v>0</v>
      </c>
      <c r="Y22" s="445"/>
      <c r="Z22" s="445"/>
      <c r="AA22" s="445"/>
      <c r="AB22" s="445"/>
      <c r="AC22" s="445"/>
      <c r="AF22" s="441" t="s">
        <v>514</v>
      </c>
      <c r="AG22" s="445"/>
      <c r="AH22" s="445"/>
      <c r="AI22" s="445"/>
      <c r="AL22" s="441" t="s">
        <v>514</v>
      </c>
      <c r="AM22" s="445"/>
      <c r="AN22" s="445"/>
      <c r="AO22" s="445"/>
    </row>
    <row r="23" spans="1:42">
      <c r="A23" s="442" t="s">
        <v>515</v>
      </c>
      <c r="B23" s="455">
        <f t="shared" si="5"/>
        <v>1194</v>
      </c>
      <c r="C23" s="455">
        <f>I23+U23</f>
        <v>1568</v>
      </c>
      <c r="D23" s="455">
        <f>J23+V23</f>
        <v>1535</v>
      </c>
      <c r="E23" s="455">
        <f t="shared" si="0"/>
        <v>2148</v>
      </c>
      <c r="G23" s="442" t="s">
        <v>515</v>
      </c>
      <c r="H23" s="443">
        <v>1194</v>
      </c>
      <c r="I23" s="443">
        <v>1568</v>
      </c>
      <c r="J23" s="443">
        <v>1535</v>
      </c>
      <c r="K23" s="1187">
        <v>2148</v>
      </c>
      <c r="M23" s="442" t="s">
        <v>515</v>
      </c>
      <c r="N23" s="445">
        <f t="shared" si="6"/>
        <v>0</v>
      </c>
      <c r="O23" s="445">
        <f t="shared" si="1"/>
        <v>0</v>
      </c>
      <c r="P23" s="445">
        <f t="shared" si="2"/>
        <v>0</v>
      </c>
      <c r="Q23" s="445">
        <f t="shared" si="3"/>
        <v>0</v>
      </c>
      <c r="Y23" s="445"/>
      <c r="Z23" s="445"/>
      <c r="AA23" s="445"/>
      <c r="AB23" s="445"/>
      <c r="AC23" s="445"/>
      <c r="AF23" s="442" t="s">
        <v>515</v>
      </c>
      <c r="AG23" s="1775"/>
      <c r="AH23" s="1775"/>
      <c r="AI23" s="1775"/>
      <c r="AL23" s="442" t="s">
        <v>515</v>
      </c>
      <c r="AM23" s="1775"/>
      <c r="AN23" s="1775"/>
      <c r="AO23" s="1775"/>
    </row>
    <row r="24" spans="1:42">
      <c r="A24" s="441"/>
      <c r="G24" s="441"/>
      <c r="H24" s="434"/>
      <c r="I24" s="434"/>
      <c r="J24" s="434"/>
      <c r="K24" s="1188"/>
      <c r="M24" s="441"/>
      <c r="N24" s="445"/>
      <c r="O24" s="445"/>
      <c r="P24" s="445"/>
      <c r="Q24" s="1676"/>
      <c r="Y24" s="445"/>
      <c r="Z24" s="445"/>
      <c r="AA24" s="445"/>
      <c r="AB24" s="445"/>
      <c r="AC24" s="445"/>
      <c r="AF24" s="441"/>
      <c r="AG24" s="445"/>
      <c r="AH24" s="445"/>
      <c r="AI24" s="445"/>
      <c r="AJ24" s="1676"/>
      <c r="AL24" s="441"/>
      <c r="AM24" s="445"/>
      <c r="AN24" s="445"/>
      <c r="AO24" s="445"/>
      <c r="AP24" s="1676"/>
    </row>
    <row r="25" spans="1:42">
      <c r="A25" s="441" t="s">
        <v>516</v>
      </c>
      <c r="B25" s="455">
        <f t="shared" ref="B25:D29" si="8">H25+T25</f>
        <v>0</v>
      </c>
      <c r="C25" s="455">
        <f t="shared" si="8"/>
        <v>0</v>
      </c>
      <c r="D25" s="455">
        <f t="shared" si="8"/>
        <v>0</v>
      </c>
      <c r="E25" s="455">
        <f t="shared" ref="E25:E30" si="9">K25+W25+Q25</f>
        <v>0</v>
      </c>
      <c r="G25" s="441" t="s">
        <v>516</v>
      </c>
      <c r="H25" s="434"/>
      <c r="I25" s="434"/>
      <c r="J25" s="434"/>
      <c r="K25" s="1188"/>
      <c r="M25" s="441" t="s">
        <v>516</v>
      </c>
      <c r="N25" s="445"/>
      <c r="O25" s="445"/>
      <c r="P25" s="445"/>
      <c r="Q25" s="1677"/>
      <c r="Y25" s="445"/>
      <c r="Z25" s="445"/>
      <c r="AA25" s="445"/>
      <c r="AB25" s="445"/>
      <c r="AC25" s="445"/>
      <c r="AF25" s="441" t="s">
        <v>516</v>
      </c>
      <c r="AG25" s="445"/>
      <c r="AH25" s="445"/>
      <c r="AI25" s="445"/>
      <c r="AJ25" s="1677"/>
      <c r="AL25" s="441" t="s">
        <v>516</v>
      </c>
      <c r="AM25" s="445"/>
      <c r="AN25" s="445"/>
      <c r="AO25" s="445"/>
      <c r="AP25" s="1677"/>
    </row>
    <row r="26" spans="1:42">
      <c r="A26" s="441" t="s">
        <v>517</v>
      </c>
      <c r="B26" s="455">
        <f t="shared" si="8"/>
        <v>0</v>
      </c>
      <c r="C26" s="455">
        <f t="shared" si="8"/>
        <v>0</v>
      </c>
      <c r="D26" s="455">
        <f t="shared" si="8"/>
        <v>0</v>
      </c>
      <c r="E26" s="455">
        <f t="shared" si="9"/>
        <v>0</v>
      </c>
      <c r="G26" s="441" t="s">
        <v>517</v>
      </c>
      <c r="H26" s="434"/>
      <c r="I26" s="434"/>
      <c r="J26" s="434"/>
      <c r="K26" s="1188"/>
      <c r="M26" s="441" t="s">
        <v>517</v>
      </c>
      <c r="N26" s="445"/>
      <c r="O26" s="445"/>
      <c r="P26" s="445"/>
      <c r="Y26" s="445"/>
      <c r="Z26" s="445"/>
      <c r="AA26" s="445"/>
      <c r="AB26" s="445"/>
      <c r="AC26" s="445"/>
      <c r="AF26" s="441" t="s">
        <v>517</v>
      </c>
      <c r="AG26" s="445"/>
      <c r="AH26" s="445"/>
      <c r="AI26" s="445"/>
      <c r="AL26" s="441" t="s">
        <v>517</v>
      </c>
      <c r="AM26" s="445"/>
      <c r="AN26" s="445"/>
      <c r="AO26" s="445"/>
    </row>
    <row r="27" spans="1:42">
      <c r="A27" s="442" t="s">
        <v>518</v>
      </c>
      <c r="B27" s="455">
        <f t="shared" si="8"/>
        <v>0</v>
      </c>
      <c r="C27" s="455">
        <f t="shared" si="8"/>
        <v>0</v>
      </c>
      <c r="D27" s="455">
        <f t="shared" si="8"/>
        <v>0</v>
      </c>
      <c r="E27" s="455">
        <f t="shared" si="9"/>
        <v>0</v>
      </c>
      <c r="G27" s="442" t="s">
        <v>518</v>
      </c>
      <c r="H27" s="444"/>
      <c r="I27" s="444"/>
      <c r="J27" s="444"/>
      <c r="K27" s="1189"/>
      <c r="M27" s="442" t="s">
        <v>518</v>
      </c>
      <c r="N27" s="1775"/>
      <c r="O27" s="1775"/>
      <c r="P27" s="1775"/>
      <c r="Q27" s="1676"/>
      <c r="Y27" s="445"/>
      <c r="Z27" s="445"/>
      <c r="AA27" s="445"/>
      <c r="AB27" s="445"/>
      <c r="AC27" s="445"/>
      <c r="AF27" s="442" t="s">
        <v>518</v>
      </c>
      <c r="AG27" s="1775"/>
      <c r="AH27" s="1775"/>
      <c r="AI27" s="1775"/>
      <c r="AJ27" s="1676"/>
      <c r="AL27" s="442" t="s">
        <v>518</v>
      </c>
      <c r="AM27" s="1775"/>
      <c r="AN27" s="1775"/>
      <c r="AO27" s="1775"/>
      <c r="AP27" s="1676"/>
    </row>
    <row r="28" spans="1:42">
      <c r="A28" s="441" t="s">
        <v>519</v>
      </c>
      <c r="B28" s="455">
        <f t="shared" si="8"/>
        <v>0</v>
      </c>
      <c r="C28" s="455">
        <f t="shared" si="8"/>
        <v>0</v>
      </c>
      <c r="D28" s="455">
        <f t="shared" si="8"/>
        <v>0</v>
      </c>
      <c r="E28" s="455">
        <f t="shared" si="9"/>
        <v>0</v>
      </c>
      <c r="G28" s="441" t="s">
        <v>519</v>
      </c>
      <c r="H28" s="434"/>
      <c r="I28" s="434"/>
      <c r="J28" s="434"/>
      <c r="K28" s="1188"/>
      <c r="M28" s="441" t="s">
        <v>519</v>
      </c>
      <c r="N28" s="445"/>
      <c r="O28" s="445"/>
      <c r="P28" s="445"/>
      <c r="Q28" s="1676"/>
      <c r="Y28" s="445"/>
      <c r="Z28" s="445"/>
      <c r="AA28" s="445"/>
      <c r="AB28" s="445"/>
      <c r="AC28" s="445"/>
      <c r="AF28" s="441" t="s">
        <v>519</v>
      </c>
      <c r="AG28" s="445"/>
      <c r="AH28" s="445"/>
      <c r="AI28" s="445"/>
      <c r="AJ28" s="1676"/>
      <c r="AL28" s="441" t="s">
        <v>519</v>
      </c>
      <c r="AM28" s="445"/>
      <c r="AN28" s="445"/>
      <c r="AO28" s="445"/>
      <c r="AP28" s="1676"/>
    </row>
    <row r="29" spans="1:42">
      <c r="A29" s="445" t="s">
        <v>520</v>
      </c>
      <c r="B29" s="455">
        <f t="shared" si="8"/>
        <v>0</v>
      </c>
      <c r="C29" s="455">
        <f t="shared" si="8"/>
        <v>0</v>
      </c>
      <c r="D29" s="455">
        <f t="shared" si="8"/>
        <v>0</v>
      </c>
      <c r="E29" s="455">
        <f t="shared" si="9"/>
        <v>0</v>
      </c>
      <c r="G29" s="445" t="s">
        <v>520</v>
      </c>
      <c r="H29" s="434"/>
      <c r="I29" s="434"/>
      <c r="J29" s="434"/>
      <c r="K29" s="1188"/>
      <c r="M29" s="445" t="s">
        <v>520</v>
      </c>
      <c r="N29" s="445"/>
      <c r="O29" s="445"/>
      <c r="P29" s="445"/>
      <c r="Y29" s="445"/>
      <c r="Z29" s="445"/>
      <c r="AA29" s="445"/>
      <c r="AB29" s="445"/>
      <c r="AC29" s="445"/>
      <c r="AF29" s="445" t="s">
        <v>520</v>
      </c>
      <c r="AG29" s="445"/>
      <c r="AH29" s="445"/>
      <c r="AI29" s="445"/>
      <c r="AL29" s="445" t="s">
        <v>520</v>
      </c>
      <c r="AM29" s="445"/>
      <c r="AN29" s="445"/>
      <c r="AO29" s="445"/>
    </row>
    <row r="30" spans="1:42">
      <c r="A30" s="1699"/>
      <c r="B30" s="1700">
        <f>SUM(B12:B29)</f>
        <v>138790</v>
      </c>
      <c r="C30" s="1700">
        <f>SUM(C12:C29)</f>
        <v>140576</v>
      </c>
      <c r="D30" s="1700">
        <f>SUM(D12:D29)</f>
        <v>142091</v>
      </c>
      <c r="E30" s="1700">
        <f t="shared" si="9"/>
        <v>143581</v>
      </c>
      <c r="F30">
        <v>83545</v>
      </c>
      <c r="G30" s="446"/>
      <c r="H30" s="447">
        <f>SUM(H12:H29)</f>
        <v>89315</v>
      </c>
      <c r="I30" s="447">
        <f>SUM(I12:I29)</f>
        <v>89826</v>
      </c>
      <c r="J30" s="447">
        <f>SUM(J12:J29)</f>
        <v>85777</v>
      </c>
      <c r="K30" s="447">
        <f>SUM(K12:K29)</f>
        <v>111039</v>
      </c>
      <c r="M30" s="446"/>
      <c r="N30" s="1776"/>
      <c r="O30" s="1776"/>
      <c r="P30" s="1776"/>
      <c r="Q30" s="447">
        <f>SUM(Q12:Q29)</f>
        <v>32542</v>
      </c>
      <c r="S30" s="447">
        <f>SUM(S12:S29)</f>
        <v>0</v>
      </c>
      <c r="T30" s="447">
        <f>SUM(T12:T29)</f>
        <v>0</v>
      </c>
      <c r="U30" s="447">
        <f>SUM(U12:U29)</f>
        <v>0</v>
      </c>
      <c r="V30" s="447">
        <f>SUM(V12:V29)</f>
        <v>0</v>
      </c>
      <c r="W30" s="447">
        <f>SUM(W12:W29)</f>
        <v>0</v>
      </c>
      <c r="Y30" s="1678"/>
      <c r="Z30" s="447">
        <f>SUM(Z12:Z29)</f>
        <v>0</v>
      </c>
      <c r="AA30" s="447">
        <f>SUM(AA12:AA29)</f>
        <v>0</v>
      </c>
      <c r="AB30" s="447">
        <f>SUM(AB12:AB29)</f>
        <v>0</v>
      </c>
      <c r="AC30" s="447">
        <f>SUM(AC12:AC29)</f>
        <v>0</v>
      </c>
      <c r="AF30" s="446"/>
      <c r="AG30" s="1776"/>
      <c r="AH30" s="1776"/>
      <c r="AI30" s="1776"/>
      <c r="AJ30" s="447">
        <f>SUM(AJ12:AJ29)</f>
        <v>-27494</v>
      </c>
      <c r="AL30" s="446"/>
      <c r="AM30" s="1776"/>
      <c r="AN30" s="1776"/>
      <c r="AO30" s="1776"/>
      <c r="AP30" s="447">
        <f>SUM(AP12:AP29)</f>
        <v>32542</v>
      </c>
    </row>
    <row r="31" spans="1:42">
      <c r="A31" s="434"/>
      <c r="E31" s="455">
        <f>SUM(E12:E29)</f>
        <v>143581</v>
      </c>
      <c r="G31" s="434"/>
      <c r="H31" s="434"/>
      <c r="I31" s="434"/>
      <c r="J31" s="435"/>
      <c r="K31" s="1186">
        <f>SUM(K30,Q30,W30)</f>
        <v>143581</v>
      </c>
      <c r="M31" s="434"/>
      <c r="N31" s="434"/>
      <c r="O31" s="434"/>
      <c r="P31" s="434"/>
      <c r="Q31" s="1676"/>
      <c r="Y31" s="452"/>
      <c r="Z31" s="452"/>
      <c r="AA31" s="452"/>
      <c r="AB31" s="452"/>
      <c r="AC31" s="452"/>
      <c r="AF31" s="434"/>
      <c r="AG31" s="434"/>
      <c r="AH31" s="434"/>
      <c r="AI31" s="434"/>
      <c r="AJ31" s="1676"/>
      <c r="AL31" s="434"/>
      <c r="AM31" s="434"/>
      <c r="AN31" s="434"/>
      <c r="AO31" s="434"/>
      <c r="AP31" s="1676"/>
    </row>
    <row r="32" spans="1:42">
      <c r="A32" s="434"/>
      <c r="G32" s="434"/>
      <c r="H32" s="434"/>
      <c r="I32" s="434"/>
      <c r="J32" s="434"/>
      <c r="K32" s="643"/>
      <c r="M32" s="434"/>
      <c r="N32" s="434"/>
      <c r="O32" s="434"/>
      <c r="P32" s="434"/>
      <c r="Y32" s="452"/>
      <c r="Z32" s="452"/>
      <c r="AA32" s="452"/>
      <c r="AB32" s="452"/>
      <c r="AC32" s="452"/>
      <c r="AF32" s="434"/>
      <c r="AG32" s="434"/>
      <c r="AH32" s="434"/>
      <c r="AI32" s="434"/>
      <c r="AL32" s="434"/>
      <c r="AM32" s="434"/>
      <c r="AN32" s="434"/>
      <c r="AO32" s="434"/>
    </row>
    <row r="33" spans="1:42">
      <c r="A33" s="439" t="s">
        <v>521</v>
      </c>
      <c r="G33" s="439" t="s">
        <v>521</v>
      </c>
      <c r="H33" s="440"/>
      <c r="I33" s="440"/>
      <c r="J33" s="440"/>
      <c r="K33" s="1679"/>
      <c r="M33" s="439"/>
      <c r="N33" s="1680"/>
      <c r="O33" s="1680"/>
      <c r="P33" s="1680"/>
      <c r="S33" s="640" t="s">
        <v>642</v>
      </c>
      <c r="T33" s="211"/>
      <c r="U33" s="211"/>
      <c r="V33" s="211"/>
      <c r="W33" s="211"/>
      <c r="Y33" s="439" t="s">
        <v>521</v>
      </c>
      <c r="Z33" s="1680"/>
      <c r="AA33" s="1680"/>
      <c r="AB33" s="1680"/>
      <c r="AC33" s="1680"/>
      <c r="AF33" s="439"/>
      <c r="AG33" s="1680"/>
      <c r="AH33" s="1680"/>
      <c r="AI33" s="1680"/>
      <c r="AL33" s="439"/>
      <c r="AM33" s="1680"/>
      <c r="AN33" s="1680"/>
      <c r="AO33" s="1680"/>
    </row>
    <row r="34" spans="1:42">
      <c r="A34" s="441" t="s">
        <v>513</v>
      </c>
      <c r="B34" s="455">
        <f>IF($B$3="yes",H34+T34+Z34,H34+T34)</f>
        <v>10432</v>
      </c>
      <c r="C34" s="455">
        <f>IF($B$3="yes",I34+U34+AA34,I34+U34)</f>
        <v>12465</v>
      </c>
      <c r="D34" s="455">
        <f>IF($B$3="yes",J34+V34+AB34,J34+V34)</f>
        <v>12973</v>
      </c>
      <c r="E34" s="455">
        <f>IF($B$3="yes",K34+W34+Q34+AC34,K34+W34+Q34)</f>
        <v>12675</v>
      </c>
      <c r="G34" s="441" t="s">
        <v>513</v>
      </c>
      <c r="H34" s="435">
        <v>6431</v>
      </c>
      <c r="I34" s="435">
        <v>8798</v>
      </c>
      <c r="J34" s="435">
        <v>8457</v>
      </c>
      <c r="K34" s="1186">
        <v>8607</v>
      </c>
      <c r="M34" s="441" t="s">
        <v>513</v>
      </c>
      <c r="N34" s="445"/>
      <c r="O34" s="445"/>
      <c r="P34" s="445"/>
      <c r="Q34" s="1676"/>
      <c r="S34" s="461" t="s">
        <v>513</v>
      </c>
      <c r="T34" s="641">
        <v>3925</v>
      </c>
      <c r="U34" s="641">
        <v>3611</v>
      </c>
      <c r="V34" s="641">
        <v>4440</v>
      </c>
      <c r="W34" s="1186">
        <f>AVERAGE(T34:V34)</f>
        <v>3992</v>
      </c>
      <c r="Y34" s="441" t="s">
        <v>513</v>
      </c>
      <c r="Z34" s="1681">
        <v>76</v>
      </c>
      <c r="AA34" s="1681">
        <v>56</v>
      </c>
      <c r="AB34" s="1681">
        <v>76</v>
      </c>
      <c r="AC34" s="1681">
        <v>76</v>
      </c>
      <c r="AF34" s="441" t="s">
        <v>513</v>
      </c>
      <c r="AG34" s="445"/>
      <c r="AH34" s="445"/>
      <c r="AI34" s="445"/>
      <c r="AJ34" s="1676"/>
      <c r="AL34" s="441" t="s">
        <v>513</v>
      </c>
      <c r="AM34" s="445"/>
      <c r="AN34" s="445"/>
      <c r="AO34" s="445"/>
      <c r="AP34" s="1676"/>
    </row>
    <row r="35" spans="1:42">
      <c r="A35" s="441" t="s">
        <v>6</v>
      </c>
      <c r="B35" s="455">
        <f>IF($B$3="yes",H35+T35+Z35+N35,H35+T35+N35)</f>
        <v>5145</v>
      </c>
      <c r="C35" s="455">
        <f>IF($B$3="yes",I35+U35+AA35+O35,I35+U35+O35)</f>
        <v>4777</v>
      </c>
      <c r="D35" s="455">
        <f>IF($B$3="yes",J35+V35+AB35+P35,J35+V35+P35)</f>
        <v>6344</v>
      </c>
      <c r="E35" s="455">
        <f>IF($B$3="yes",K35+W35+AC35+Q35,K35+W35+Q35)</f>
        <v>3876</v>
      </c>
      <c r="G35" s="441" t="s">
        <v>6</v>
      </c>
      <c r="H35" s="435">
        <v>22895</v>
      </c>
      <c r="I35" s="435">
        <v>22948</v>
      </c>
      <c r="J35" s="435">
        <v>30039</v>
      </c>
      <c r="K35" s="1186">
        <v>3425</v>
      </c>
      <c r="M35" s="441" t="s">
        <v>6</v>
      </c>
      <c r="N35" s="445">
        <f t="shared" ref="N35:N45" si="10">IF($B$4="no",AG35,AM35)</f>
        <v>-17790</v>
      </c>
      <c r="O35" s="445">
        <f t="shared" ref="O35:O45" si="11">IF($B$4="no",AH35,AN35)</f>
        <v>-18366</v>
      </c>
      <c r="P35" s="445">
        <f t="shared" ref="P35:P45" si="12">IF($B$4="no",AI35,AO35)</f>
        <v>-24755</v>
      </c>
      <c r="Q35" s="445">
        <f t="shared" ref="Q35:Q45" si="13">IF($B$4="no",AJ35,AP35)</f>
        <v>-974</v>
      </c>
      <c r="S35" s="461" t="s">
        <v>6</v>
      </c>
      <c r="T35" s="641"/>
      <c r="U35" s="641"/>
      <c r="V35" s="641"/>
      <c r="W35" s="1186"/>
      <c r="Y35" s="441" t="s">
        <v>6</v>
      </c>
      <c r="Z35" s="1681">
        <v>40</v>
      </c>
      <c r="AA35" s="1681">
        <v>195</v>
      </c>
      <c r="AB35" s="1681">
        <v>1060</v>
      </c>
      <c r="AC35" s="1681">
        <v>1425</v>
      </c>
      <c r="AF35" s="441" t="s">
        <v>6</v>
      </c>
      <c r="AG35" s="445"/>
      <c r="AH35" s="445"/>
      <c r="AI35" s="445"/>
      <c r="AJ35" s="1676">
        <f>30919-3425</f>
        <v>27494</v>
      </c>
      <c r="AL35" s="441" t="s">
        <v>6</v>
      </c>
      <c r="AM35" s="445">
        <v>-17790</v>
      </c>
      <c r="AN35" s="445">
        <v>-18366</v>
      </c>
      <c r="AO35" s="445">
        <v>-24755</v>
      </c>
      <c r="AP35" s="1676">
        <v>-974</v>
      </c>
    </row>
    <row r="36" spans="1:42">
      <c r="A36" s="441" t="s">
        <v>8</v>
      </c>
      <c r="B36" s="455">
        <f>IF($B$3="yes",H36+T36+Z36,H36+T36)</f>
        <v>2878</v>
      </c>
      <c r="C36" s="455">
        <f>IF($B$3="yes",I36+U36+AA36,I36+U36)</f>
        <v>3150</v>
      </c>
      <c r="D36" s="455">
        <f>IF($B$3="yes",J36+V36+AB36,J36+V36)</f>
        <v>2982</v>
      </c>
      <c r="E36" s="455">
        <f t="shared" ref="E36:E45" si="14">IF($B$3="yes",K36+W36+Q36+AC36,K36+W36+Q36)</f>
        <v>2706</v>
      </c>
      <c r="G36" s="441" t="s">
        <v>8</v>
      </c>
      <c r="H36" s="435">
        <v>2878</v>
      </c>
      <c r="I36" s="435">
        <v>3150</v>
      </c>
      <c r="J36" s="435">
        <v>2982</v>
      </c>
      <c r="K36" s="1186">
        <v>2649</v>
      </c>
      <c r="M36" s="441" t="s">
        <v>8</v>
      </c>
      <c r="N36" s="445">
        <f t="shared" si="10"/>
        <v>0</v>
      </c>
      <c r="O36" s="445">
        <f t="shared" si="11"/>
        <v>0</v>
      </c>
      <c r="P36" s="445">
        <f t="shared" si="12"/>
        <v>0</v>
      </c>
      <c r="Q36" s="445">
        <f t="shared" si="13"/>
        <v>0</v>
      </c>
      <c r="S36" s="461" t="s">
        <v>8</v>
      </c>
      <c r="T36" s="641"/>
      <c r="U36" s="641"/>
      <c r="V36" s="641"/>
      <c r="W36" s="1186"/>
      <c r="Y36" s="441" t="s">
        <v>8</v>
      </c>
      <c r="Z36" s="1681">
        <v>0</v>
      </c>
      <c r="AA36" s="1681">
        <v>0</v>
      </c>
      <c r="AB36" s="1681">
        <v>0</v>
      </c>
      <c r="AC36" s="1681">
        <v>57</v>
      </c>
      <c r="AF36" s="441" t="s">
        <v>8</v>
      </c>
      <c r="AG36" s="445"/>
      <c r="AH36" s="445"/>
      <c r="AI36" s="445"/>
      <c r="AL36" s="441" t="s">
        <v>8</v>
      </c>
      <c r="AM36" s="445"/>
      <c r="AN36" s="445"/>
      <c r="AO36" s="445"/>
    </row>
    <row r="37" spans="1:42">
      <c r="A37" s="442" t="s">
        <v>2</v>
      </c>
      <c r="B37" s="455">
        <f>IF($B$3="yes",H37+T37+Z37+N37,H37+T37+N37)</f>
        <v>1806</v>
      </c>
      <c r="C37" s="455">
        <f>IF($B$3="yes",I37+U37+AA37+O37,I37+U37+O37)</f>
        <v>1382</v>
      </c>
      <c r="D37" s="455">
        <f>IF($B$3="yes",J37+V37+AB37+P37,J37+V37+P37)</f>
        <v>1044</v>
      </c>
      <c r="E37" s="455">
        <f>IF($B$3="yes",K37+W37+AC37+Q37,K37+W37+Q37)</f>
        <v>821</v>
      </c>
      <c r="G37" s="442" t="s">
        <v>2</v>
      </c>
      <c r="H37" s="443">
        <v>3107</v>
      </c>
      <c r="I37" s="443">
        <v>2949</v>
      </c>
      <c r="J37" s="443">
        <v>2494</v>
      </c>
      <c r="K37" s="1187">
        <v>2096</v>
      </c>
      <c r="M37" s="442" t="s">
        <v>2</v>
      </c>
      <c r="N37" s="445">
        <f t="shared" si="10"/>
        <v>-1481</v>
      </c>
      <c r="O37" s="445">
        <f t="shared" si="11"/>
        <v>-1567</v>
      </c>
      <c r="P37" s="445">
        <f t="shared" si="12"/>
        <v>-1450</v>
      </c>
      <c r="Q37" s="445">
        <f t="shared" si="13"/>
        <v>-1275</v>
      </c>
      <c r="S37" s="463" t="s">
        <v>2</v>
      </c>
      <c r="T37" s="642">
        <v>180</v>
      </c>
      <c r="U37" s="642">
        <v>0</v>
      </c>
      <c r="V37" s="642">
        <v>0</v>
      </c>
      <c r="W37" s="1187">
        <v>0</v>
      </c>
      <c r="Y37" s="442" t="s">
        <v>2</v>
      </c>
      <c r="Z37" s="1682">
        <v>0</v>
      </c>
      <c r="AA37" s="1682">
        <v>0</v>
      </c>
      <c r="AB37" s="1682">
        <v>0</v>
      </c>
      <c r="AC37" s="1682">
        <v>0</v>
      </c>
      <c r="AF37" s="442" t="s">
        <v>2</v>
      </c>
      <c r="AG37" s="1775"/>
      <c r="AH37" s="1775"/>
      <c r="AI37" s="1775"/>
      <c r="AJ37" s="1676"/>
      <c r="AL37" s="442" t="s">
        <v>2</v>
      </c>
      <c r="AM37" s="1775">
        <v>-1481</v>
      </c>
      <c r="AN37" s="1775">
        <v>-1567</v>
      </c>
      <c r="AO37" s="1775">
        <v>-1450</v>
      </c>
      <c r="AP37" s="1676">
        <v>-1275</v>
      </c>
    </row>
    <row r="38" spans="1:42">
      <c r="A38" s="441" t="s">
        <v>10</v>
      </c>
      <c r="B38" s="455">
        <f t="shared" ref="B38:D42" si="15">IF($B$3="yes",H38+T38+Z38,H38+T38)</f>
        <v>758</v>
      </c>
      <c r="C38" s="455">
        <f t="shared" si="15"/>
        <v>728</v>
      </c>
      <c r="D38" s="455">
        <f t="shared" si="15"/>
        <v>731</v>
      </c>
      <c r="E38" s="455">
        <f t="shared" si="14"/>
        <v>734</v>
      </c>
      <c r="G38" s="441" t="s">
        <v>10</v>
      </c>
      <c r="H38" s="435">
        <v>758</v>
      </c>
      <c r="I38" s="435">
        <v>728</v>
      </c>
      <c r="J38" s="435">
        <v>731</v>
      </c>
      <c r="K38" s="1186">
        <v>734</v>
      </c>
      <c r="M38" s="441" t="s">
        <v>10</v>
      </c>
      <c r="N38" s="445">
        <f t="shared" si="10"/>
        <v>0</v>
      </c>
      <c r="O38" s="445">
        <f t="shared" si="11"/>
        <v>0</v>
      </c>
      <c r="P38" s="445">
        <f t="shared" si="12"/>
        <v>0</v>
      </c>
      <c r="Q38" s="445">
        <f t="shared" si="13"/>
        <v>0</v>
      </c>
      <c r="S38" s="461" t="s">
        <v>10</v>
      </c>
      <c r="T38" s="643"/>
      <c r="U38" s="643"/>
      <c r="V38" s="643"/>
      <c r="W38" s="1188"/>
      <c r="Y38" s="441" t="s">
        <v>10</v>
      </c>
      <c r="Z38" s="1681">
        <v>0</v>
      </c>
      <c r="AA38" s="1681">
        <v>0</v>
      </c>
      <c r="AB38" s="1681">
        <v>0</v>
      </c>
      <c r="AC38" s="1681">
        <v>0</v>
      </c>
      <c r="AF38" s="441" t="s">
        <v>10</v>
      </c>
      <c r="AG38" s="445"/>
      <c r="AH38" s="445"/>
      <c r="AI38" s="445"/>
      <c r="AJ38" s="1676"/>
      <c r="AL38" s="441" t="s">
        <v>10</v>
      </c>
      <c r="AM38" s="445"/>
      <c r="AN38" s="445"/>
      <c r="AO38" s="445"/>
      <c r="AP38" s="1676"/>
    </row>
    <row r="39" spans="1:42">
      <c r="A39" s="441" t="s">
        <v>4</v>
      </c>
      <c r="B39" s="455">
        <f t="shared" si="15"/>
        <v>105968</v>
      </c>
      <c r="C39" s="455">
        <f t="shared" si="15"/>
        <v>102194</v>
      </c>
      <c r="D39" s="455">
        <f t="shared" si="15"/>
        <v>96773</v>
      </c>
      <c r="E39" s="455">
        <f t="shared" si="14"/>
        <v>90774</v>
      </c>
      <c r="G39" s="441" t="s">
        <v>4</v>
      </c>
      <c r="H39" s="435">
        <v>107923</v>
      </c>
      <c r="I39" s="435">
        <v>103467</v>
      </c>
      <c r="J39" s="435">
        <v>98848</v>
      </c>
      <c r="K39" s="1186">
        <v>91767</v>
      </c>
      <c r="M39" s="441" t="s">
        <v>4</v>
      </c>
      <c r="N39" s="445">
        <f t="shared" si="10"/>
        <v>0</v>
      </c>
      <c r="O39" s="445">
        <f t="shared" si="11"/>
        <v>0</v>
      </c>
      <c r="P39" s="445">
        <f t="shared" si="12"/>
        <v>0</v>
      </c>
      <c r="Q39" s="445">
        <f t="shared" si="13"/>
        <v>0</v>
      </c>
      <c r="S39" s="461" t="s">
        <v>4</v>
      </c>
      <c r="T39" s="641">
        <f>-SUM(T34:T38)</f>
        <v>-4105</v>
      </c>
      <c r="U39" s="641">
        <f>-SUM(U34:U38)</f>
        <v>-3611</v>
      </c>
      <c r="V39" s="641">
        <f>-V34</f>
        <v>-4440</v>
      </c>
      <c r="W39" s="1186">
        <f>-W34</f>
        <v>-3992</v>
      </c>
      <c r="Y39" s="441" t="s">
        <v>4</v>
      </c>
      <c r="Z39" s="1681">
        <v>2150</v>
      </c>
      <c r="AA39" s="1681">
        <v>2338</v>
      </c>
      <c r="AB39" s="1681">
        <v>2365</v>
      </c>
      <c r="AC39" s="1681">
        <v>2999</v>
      </c>
      <c r="AF39" s="441" t="s">
        <v>4</v>
      </c>
      <c r="AG39" s="445"/>
      <c r="AH39" s="445"/>
      <c r="AI39" s="445"/>
      <c r="AL39" s="441" t="s">
        <v>4</v>
      </c>
      <c r="AM39" s="445"/>
      <c r="AN39" s="445"/>
      <c r="AO39" s="445"/>
    </row>
    <row r="40" spans="1:42">
      <c r="A40" s="441" t="s">
        <v>14</v>
      </c>
      <c r="B40" s="455">
        <f t="shared" si="15"/>
        <v>0</v>
      </c>
      <c r="C40" s="455">
        <f t="shared" si="15"/>
        <v>0</v>
      </c>
      <c r="D40" s="455">
        <f t="shared" si="15"/>
        <v>0</v>
      </c>
      <c r="E40" s="455">
        <f t="shared" si="14"/>
        <v>0</v>
      </c>
      <c r="G40" s="441" t="s">
        <v>14</v>
      </c>
      <c r="H40" s="434">
        <v>0</v>
      </c>
      <c r="I40" s="434">
        <v>0</v>
      </c>
      <c r="J40" s="434">
        <v>0</v>
      </c>
      <c r="K40" s="1186">
        <v>0</v>
      </c>
      <c r="M40" s="441" t="s">
        <v>14</v>
      </c>
      <c r="N40" s="445">
        <f t="shared" si="10"/>
        <v>0</v>
      </c>
      <c r="O40" s="445">
        <f t="shared" si="11"/>
        <v>0</v>
      </c>
      <c r="P40" s="445">
        <f t="shared" si="12"/>
        <v>0</v>
      </c>
      <c r="Q40" s="445">
        <f t="shared" si="13"/>
        <v>0</v>
      </c>
      <c r="S40" s="461" t="s">
        <v>14</v>
      </c>
      <c r="T40" s="434"/>
      <c r="U40" s="434"/>
      <c r="V40" s="434"/>
      <c r="W40" s="434"/>
      <c r="Y40" s="441" t="s">
        <v>14</v>
      </c>
      <c r="Z40" s="1681">
        <v>0</v>
      </c>
      <c r="AA40" s="1681">
        <v>0</v>
      </c>
      <c r="AB40" s="1681">
        <v>0</v>
      </c>
      <c r="AC40" s="1681">
        <v>0</v>
      </c>
      <c r="AF40" s="441" t="s">
        <v>14</v>
      </c>
      <c r="AG40" s="445"/>
      <c r="AH40" s="445"/>
      <c r="AI40" s="445"/>
      <c r="AJ40" s="1676"/>
      <c r="AL40" s="441" t="s">
        <v>14</v>
      </c>
      <c r="AM40" s="445"/>
      <c r="AN40" s="445"/>
      <c r="AO40" s="445"/>
      <c r="AP40" s="1676"/>
    </row>
    <row r="41" spans="1:42">
      <c r="A41" s="442" t="s">
        <v>17</v>
      </c>
      <c r="B41" s="455">
        <f t="shared" si="15"/>
        <v>90207</v>
      </c>
      <c r="C41" s="455">
        <f t="shared" si="15"/>
        <v>82833</v>
      </c>
      <c r="D41" s="455">
        <f t="shared" si="15"/>
        <v>78944</v>
      </c>
      <c r="E41" s="455">
        <f t="shared" si="14"/>
        <v>70461</v>
      </c>
      <c r="G41" s="442" t="s">
        <v>17</v>
      </c>
      <c r="H41" s="443">
        <v>89626</v>
      </c>
      <c r="I41" s="443">
        <v>82122</v>
      </c>
      <c r="J41" s="443">
        <v>78092</v>
      </c>
      <c r="K41" s="1187">
        <v>69720</v>
      </c>
      <c r="M41" s="442" t="s">
        <v>17</v>
      </c>
      <c r="N41" s="445">
        <f t="shared" si="10"/>
        <v>0</v>
      </c>
      <c r="O41" s="445">
        <f t="shared" si="11"/>
        <v>0</v>
      </c>
      <c r="P41" s="445">
        <f t="shared" si="12"/>
        <v>0</v>
      </c>
      <c r="Q41" s="445">
        <f t="shared" si="13"/>
        <v>0</v>
      </c>
      <c r="S41" s="463" t="s">
        <v>17</v>
      </c>
      <c r="T41" s="443"/>
      <c r="U41" s="443"/>
      <c r="V41" s="443"/>
      <c r="W41" s="443"/>
      <c r="Y41" s="442" t="s">
        <v>17</v>
      </c>
      <c r="Z41" s="1682">
        <v>581</v>
      </c>
      <c r="AA41" s="1682">
        <v>711</v>
      </c>
      <c r="AB41" s="1682">
        <v>852</v>
      </c>
      <c r="AC41" s="1682">
        <v>741</v>
      </c>
      <c r="AF41" s="442" t="s">
        <v>17</v>
      </c>
      <c r="AG41" s="1775"/>
      <c r="AH41" s="1775"/>
      <c r="AI41" s="1775"/>
      <c r="AJ41" s="1676"/>
      <c r="AL41" s="442" t="s">
        <v>17</v>
      </c>
      <c r="AM41" s="1775"/>
      <c r="AN41" s="1775"/>
      <c r="AO41" s="1775"/>
      <c r="AP41" s="1676"/>
    </row>
    <row r="42" spans="1:42">
      <c r="A42" s="441" t="s">
        <v>316</v>
      </c>
      <c r="B42" s="455">
        <f t="shared" si="15"/>
        <v>108</v>
      </c>
      <c r="C42" s="455">
        <f t="shared" si="15"/>
        <v>72</v>
      </c>
      <c r="D42" s="455">
        <f t="shared" si="15"/>
        <v>72</v>
      </c>
      <c r="E42" s="455">
        <f t="shared" si="14"/>
        <v>74</v>
      </c>
      <c r="G42" s="441" t="s">
        <v>316</v>
      </c>
      <c r="H42" s="435">
        <v>108</v>
      </c>
      <c r="I42" s="435">
        <v>72</v>
      </c>
      <c r="J42" s="435">
        <v>72</v>
      </c>
      <c r="K42" s="1186">
        <v>74</v>
      </c>
      <c r="M42" s="441" t="s">
        <v>316</v>
      </c>
      <c r="N42" s="445">
        <f t="shared" si="10"/>
        <v>0</v>
      </c>
      <c r="O42" s="445">
        <f t="shared" si="11"/>
        <v>0</v>
      </c>
      <c r="P42" s="445">
        <f t="shared" si="12"/>
        <v>0</v>
      </c>
      <c r="Q42" s="445">
        <f t="shared" si="13"/>
        <v>0</v>
      </c>
      <c r="S42" s="461" t="s">
        <v>316</v>
      </c>
      <c r="T42" s="434"/>
      <c r="U42" s="434"/>
      <c r="V42" s="434"/>
      <c r="W42" s="434"/>
      <c r="Y42" s="441" t="s">
        <v>316</v>
      </c>
      <c r="Z42" s="1681">
        <v>0</v>
      </c>
      <c r="AA42" s="1681">
        <v>0</v>
      </c>
      <c r="AB42" s="1681">
        <v>0</v>
      </c>
      <c r="AC42" s="1681">
        <v>0</v>
      </c>
      <c r="AF42" s="441" t="s">
        <v>316</v>
      </c>
      <c r="AG42" s="445"/>
      <c r="AH42" s="445"/>
      <c r="AI42" s="445"/>
      <c r="AL42" s="441" t="s">
        <v>316</v>
      </c>
      <c r="AM42" s="445"/>
      <c r="AN42" s="445"/>
      <c r="AO42" s="445"/>
    </row>
    <row r="43" spans="1:42">
      <c r="A43" s="441" t="s">
        <v>7</v>
      </c>
      <c r="B43" s="455">
        <f>IF($B$3="yes",H43+T43+Z43+N43,H43+T43+N43)</f>
        <v>3808</v>
      </c>
      <c r="C43" s="455">
        <f>IF($B$3="yes",I43+U43+AA43+O43,I43+U43+O43)</f>
        <v>4146</v>
      </c>
      <c r="D43" s="455">
        <f>IF($B$3="yes",J43+V43+AB43+P43,J43+V43+P43)</f>
        <v>4361</v>
      </c>
      <c r="E43" s="455">
        <f>IF($B$3="yes",K43+W43+AC43+Q43,K43+W43+Q43)</f>
        <v>3891</v>
      </c>
      <c r="G43" s="441" t="s">
        <v>7</v>
      </c>
      <c r="H43" s="435">
        <v>33486</v>
      </c>
      <c r="I43" s="435">
        <v>34225</v>
      </c>
      <c r="J43" s="435">
        <v>33840</v>
      </c>
      <c r="K43" s="1186">
        <v>33494</v>
      </c>
      <c r="M43" s="441" t="s">
        <v>7</v>
      </c>
      <c r="N43" s="445">
        <f t="shared" si="10"/>
        <v>-30204</v>
      </c>
      <c r="O43" s="445">
        <f t="shared" si="11"/>
        <v>-30817</v>
      </c>
      <c r="P43" s="445">
        <f t="shared" si="12"/>
        <v>-30109</v>
      </c>
      <c r="Q43" s="445">
        <f t="shared" si="13"/>
        <v>-30293</v>
      </c>
      <c r="S43" s="461" t="s">
        <v>7</v>
      </c>
      <c r="T43" s="435"/>
      <c r="U43" s="435"/>
      <c r="V43" s="435"/>
      <c r="W43" s="435"/>
      <c r="Y43" s="441" t="s">
        <v>7</v>
      </c>
      <c r="Z43" s="1681">
        <v>526</v>
      </c>
      <c r="AA43" s="1681">
        <v>738</v>
      </c>
      <c r="AB43" s="1681">
        <v>630</v>
      </c>
      <c r="AC43" s="1681">
        <v>690</v>
      </c>
      <c r="AF43" s="441" t="s">
        <v>7</v>
      </c>
      <c r="AG43" s="445"/>
      <c r="AH43" s="445"/>
      <c r="AI43" s="445"/>
      <c r="AJ43" s="445"/>
      <c r="AL43" s="441" t="s">
        <v>7</v>
      </c>
      <c r="AM43" s="445">
        <v>-30204</v>
      </c>
      <c r="AN43" s="445">
        <v>-30817</v>
      </c>
      <c r="AO43" s="445">
        <v>-30109</v>
      </c>
      <c r="AP43" s="445">
        <v>-30293</v>
      </c>
    </row>
    <row r="44" spans="1:42">
      <c r="A44" s="441" t="s">
        <v>514</v>
      </c>
      <c r="B44" s="455">
        <f t="shared" ref="B44:D45" si="16">IF($B$3="yes",H44+T44+Z44,H44+T44)</f>
        <v>15520</v>
      </c>
      <c r="C44" s="455">
        <f t="shared" si="16"/>
        <v>14594</v>
      </c>
      <c r="D44" s="455">
        <f t="shared" si="16"/>
        <v>13898</v>
      </c>
      <c r="E44" s="455">
        <f t="shared" si="14"/>
        <v>13560</v>
      </c>
      <c r="G44" s="441" t="s">
        <v>514</v>
      </c>
      <c r="H44" s="435">
        <v>15480</v>
      </c>
      <c r="I44" s="435">
        <v>14522</v>
      </c>
      <c r="J44" s="435">
        <v>13808</v>
      </c>
      <c r="K44" s="1186">
        <v>13482</v>
      </c>
      <c r="M44" s="441" t="s">
        <v>514</v>
      </c>
      <c r="N44" s="445">
        <f t="shared" si="10"/>
        <v>0</v>
      </c>
      <c r="O44" s="445">
        <f t="shared" si="11"/>
        <v>0</v>
      </c>
      <c r="P44" s="445">
        <f t="shared" si="12"/>
        <v>0</v>
      </c>
      <c r="Q44" s="445">
        <f t="shared" si="13"/>
        <v>0</v>
      </c>
      <c r="S44" s="461" t="s">
        <v>9</v>
      </c>
      <c r="T44" s="435"/>
      <c r="U44" s="435"/>
      <c r="V44" s="435"/>
      <c r="W44" s="435"/>
      <c r="Y44" s="441" t="s">
        <v>514</v>
      </c>
      <c r="Z44" s="1681">
        <v>40</v>
      </c>
      <c r="AA44" s="1681">
        <v>72</v>
      </c>
      <c r="AB44" s="1681">
        <v>90</v>
      </c>
      <c r="AC44" s="1681">
        <v>78</v>
      </c>
      <c r="AF44" s="441" t="s">
        <v>514</v>
      </c>
      <c r="AG44" s="445"/>
      <c r="AH44" s="445"/>
      <c r="AI44" s="445"/>
      <c r="AJ44" s="1676"/>
      <c r="AL44" s="441" t="s">
        <v>514</v>
      </c>
      <c r="AM44" s="445"/>
      <c r="AN44" s="445"/>
      <c r="AO44" s="445"/>
      <c r="AP44" s="1676"/>
    </row>
    <row r="45" spans="1:42">
      <c r="A45" s="442" t="s">
        <v>515</v>
      </c>
      <c r="B45" s="455">
        <f t="shared" si="16"/>
        <v>9946</v>
      </c>
      <c r="C45" s="455">
        <f t="shared" si="16"/>
        <v>7169</v>
      </c>
      <c r="D45" s="455">
        <f t="shared" si="16"/>
        <v>6784</v>
      </c>
      <c r="E45" s="455">
        <f t="shared" si="14"/>
        <v>6902</v>
      </c>
      <c r="G45" s="442" t="s">
        <v>515</v>
      </c>
      <c r="H45" s="443">
        <v>9946</v>
      </c>
      <c r="I45" s="443">
        <v>7169</v>
      </c>
      <c r="J45" s="443">
        <v>6784</v>
      </c>
      <c r="K45" s="1187">
        <v>6902</v>
      </c>
      <c r="M45" s="442" t="s">
        <v>515</v>
      </c>
      <c r="N45" s="445">
        <f t="shared" si="10"/>
        <v>0</v>
      </c>
      <c r="O45" s="445">
        <f t="shared" si="11"/>
        <v>0</v>
      </c>
      <c r="P45" s="445">
        <f t="shared" si="12"/>
        <v>0</v>
      </c>
      <c r="Q45" s="445">
        <f t="shared" si="13"/>
        <v>0</v>
      </c>
      <c r="S45" s="463" t="s">
        <v>5</v>
      </c>
      <c r="T45" s="443"/>
      <c r="U45" s="443"/>
      <c r="V45" s="443"/>
      <c r="W45" s="443"/>
      <c r="Y45" s="442" t="s">
        <v>515</v>
      </c>
      <c r="Z45" s="1682">
        <v>0</v>
      </c>
      <c r="AA45" s="1682">
        <v>0</v>
      </c>
      <c r="AB45" s="1682">
        <v>0</v>
      </c>
      <c r="AC45" s="1682">
        <v>0</v>
      </c>
      <c r="AF45" s="442" t="s">
        <v>515</v>
      </c>
      <c r="AG45" s="1775"/>
      <c r="AH45" s="1775"/>
      <c r="AI45" s="1775"/>
      <c r="AJ45" s="1677"/>
      <c r="AL45" s="442" t="s">
        <v>515</v>
      </c>
      <c r="AM45" s="1775"/>
      <c r="AN45" s="1775"/>
      <c r="AO45" s="1775"/>
      <c r="AP45" s="1677"/>
    </row>
    <row r="46" spans="1:42">
      <c r="A46" s="441"/>
      <c r="G46" s="441"/>
      <c r="H46" s="434"/>
      <c r="I46" s="434"/>
      <c r="J46" s="434"/>
      <c r="K46" s="1188"/>
      <c r="M46" s="441"/>
      <c r="N46" s="445"/>
      <c r="O46" s="445"/>
      <c r="P46" s="445"/>
      <c r="Y46" s="441"/>
      <c r="Z46" s="1681"/>
      <c r="AA46" s="1681"/>
      <c r="AB46" s="1681"/>
      <c r="AC46" s="1681"/>
      <c r="AF46" s="441"/>
      <c r="AG46" s="445"/>
      <c r="AH46" s="445"/>
      <c r="AI46" s="445"/>
      <c r="AL46" s="441"/>
      <c r="AM46" s="445"/>
      <c r="AN46" s="445"/>
      <c r="AO46" s="445"/>
    </row>
    <row r="47" spans="1:42">
      <c r="A47" s="441" t="s">
        <v>516</v>
      </c>
      <c r="B47" s="455">
        <f t="shared" ref="B47:D48" si="17">IF($B$3="yes",H47+T47+Z47,H47+T47)</f>
        <v>1019</v>
      </c>
      <c r="C47" s="455">
        <f t="shared" si="17"/>
        <v>1094</v>
      </c>
      <c r="D47" s="455">
        <f t="shared" si="17"/>
        <v>1142</v>
      </c>
      <c r="E47" s="455">
        <f>IF($B$3="yes",K47+W47+Q47+AC47,K47+W47+Q47)</f>
        <v>1082</v>
      </c>
      <c r="G47" s="441" t="s">
        <v>516</v>
      </c>
      <c r="H47" s="435">
        <v>1019</v>
      </c>
      <c r="I47" s="435">
        <v>1094</v>
      </c>
      <c r="J47" s="435">
        <v>1142</v>
      </c>
      <c r="K47" s="1683">
        <v>1082</v>
      </c>
      <c r="M47" s="441" t="s">
        <v>516</v>
      </c>
      <c r="N47" s="445"/>
      <c r="O47" s="445"/>
      <c r="P47" s="445"/>
      <c r="Q47" s="1676"/>
      <c r="Y47" s="441" t="s">
        <v>516</v>
      </c>
      <c r="Z47" s="1681"/>
      <c r="AA47" s="1681"/>
      <c r="AB47" s="1681"/>
      <c r="AC47" s="1681"/>
      <c r="AF47" s="441" t="s">
        <v>516</v>
      </c>
      <c r="AG47" s="445"/>
      <c r="AH47" s="445"/>
      <c r="AI47" s="445"/>
      <c r="AJ47" s="1676"/>
      <c r="AL47" s="441" t="s">
        <v>516</v>
      </c>
      <c r="AM47" s="445"/>
      <c r="AN47" s="445"/>
      <c r="AO47" s="445"/>
      <c r="AP47" s="1676"/>
    </row>
    <row r="48" spans="1:42">
      <c r="A48" s="441" t="s">
        <v>517</v>
      </c>
      <c r="B48" s="455">
        <f t="shared" si="17"/>
        <v>76</v>
      </c>
      <c r="C48" s="455">
        <f t="shared" si="17"/>
        <v>105</v>
      </c>
      <c r="D48" s="455">
        <f t="shared" si="17"/>
        <v>101</v>
      </c>
      <c r="E48" s="455">
        <f>IF($B$3="yes",K48+W48+Q48+AC48,K48+W48+Q48)</f>
        <v>125</v>
      </c>
      <c r="G48" s="441" t="s">
        <v>517</v>
      </c>
      <c r="H48" s="435">
        <v>76</v>
      </c>
      <c r="I48" s="435">
        <v>105</v>
      </c>
      <c r="J48" s="435">
        <v>101</v>
      </c>
      <c r="K48" s="1683">
        <v>125</v>
      </c>
      <c r="M48" s="441" t="s">
        <v>517</v>
      </c>
      <c r="N48" s="445"/>
      <c r="O48" s="445"/>
      <c r="P48" s="445"/>
      <c r="Q48" s="1676"/>
      <c r="Y48" s="441" t="s">
        <v>517</v>
      </c>
      <c r="Z48" s="1681"/>
      <c r="AA48" s="1681"/>
      <c r="AB48" s="1681"/>
      <c r="AC48" s="1681"/>
      <c r="AF48" s="441" t="s">
        <v>517</v>
      </c>
      <c r="AG48" s="445"/>
      <c r="AH48" s="445"/>
      <c r="AI48" s="445"/>
      <c r="AJ48" s="1676"/>
      <c r="AL48" s="441" t="s">
        <v>517</v>
      </c>
      <c r="AM48" s="445"/>
      <c r="AN48" s="445"/>
      <c r="AO48" s="445"/>
      <c r="AP48" s="1676"/>
    </row>
    <row r="49" spans="1:42">
      <c r="A49" s="442" t="s">
        <v>518</v>
      </c>
      <c r="B49" s="455">
        <f>IF($B$3="yes",H49-Z52,H49+T49)</f>
        <v>0</v>
      </c>
      <c r="C49" s="455">
        <f>IF($B$3="yes",I49-AA52,I49+U49)</f>
        <v>0</v>
      </c>
      <c r="D49" s="455">
        <f>IF($B$3="yes",J49-AB52,J49+V49)</f>
        <v>0</v>
      </c>
      <c r="E49" s="455">
        <f>IF($B$3="yes",K49-AC52,K49+W49)</f>
        <v>4</v>
      </c>
      <c r="G49" s="442" t="s">
        <v>518</v>
      </c>
      <c r="H49" s="443">
        <v>3493</v>
      </c>
      <c r="I49" s="443">
        <v>4180</v>
      </c>
      <c r="J49" s="443">
        <v>5153</v>
      </c>
      <c r="K49" s="1684">
        <v>6134</v>
      </c>
      <c r="M49" s="442" t="s">
        <v>518</v>
      </c>
      <c r="N49" s="1775"/>
      <c r="O49" s="1775"/>
      <c r="P49" s="1775"/>
      <c r="Q49" s="1676"/>
      <c r="Y49" s="442" t="s">
        <v>518</v>
      </c>
      <c r="Z49" s="1682"/>
      <c r="AA49" s="1682"/>
      <c r="AB49" s="1682"/>
      <c r="AC49" s="1682"/>
      <c r="AF49" s="442" t="s">
        <v>518</v>
      </c>
      <c r="AG49" s="1775"/>
      <c r="AH49" s="1775"/>
      <c r="AI49" s="1775"/>
      <c r="AJ49" s="1676"/>
      <c r="AL49" s="442" t="s">
        <v>518</v>
      </c>
      <c r="AM49" s="1775"/>
      <c r="AN49" s="1775"/>
      <c r="AO49" s="1775"/>
      <c r="AP49" s="1676"/>
    </row>
    <row r="50" spans="1:42">
      <c r="A50" s="441" t="s">
        <v>519</v>
      </c>
      <c r="B50" s="455">
        <f t="shared" ref="B50:D51" si="18">IF($B$3="yes",H50+T50+Z50,H50+T50)</f>
        <v>9282</v>
      </c>
      <c r="C50" s="455">
        <f t="shared" si="18"/>
        <v>9964</v>
      </c>
      <c r="D50" s="455">
        <f t="shared" si="18"/>
        <v>9373</v>
      </c>
      <c r="E50" s="455">
        <f>IF($B$3="yes",K50+W50+Q50+AC50,K50+W50+Q50)</f>
        <v>7829</v>
      </c>
      <c r="G50" s="441" t="s">
        <v>519</v>
      </c>
      <c r="H50" s="435">
        <v>9202</v>
      </c>
      <c r="I50" s="435">
        <v>9894</v>
      </c>
      <c r="J50" s="435">
        <v>9293</v>
      </c>
      <c r="K50" s="1683">
        <v>7765</v>
      </c>
      <c r="M50" s="441" t="s">
        <v>519</v>
      </c>
      <c r="N50" s="445"/>
      <c r="O50" s="445"/>
      <c r="P50" s="445"/>
      <c r="Q50" s="1676"/>
      <c r="Y50" s="441" t="s">
        <v>519</v>
      </c>
      <c r="Z50" s="1681">
        <v>80</v>
      </c>
      <c r="AA50" s="1681">
        <v>70</v>
      </c>
      <c r="AB50" s="1681">
        <v>80</v>
      </c>
      <c r="AC50" s="1681">
        <v>64</v>
      </c>
      <c r="AF50" s="441" t="s">
        <v>519</v>
      </c>
      <c r="AG50" s="445"/>
      <c r="AH50" s="445"/>
      <c r="AI50" s="445"/>
      <c r="AJ50" s="1676"/>
      <c r="AL50" s="441" t="s">
        <v>519</v>
      </c>
      <c r="AM50" s="445"/>
      <c r="AN50" s="445"/>
      <c r="AO50" s="445"/>
      <c r="AP50" s="1676"/>
    </row>
    <row r="51" spans="1:42">
      <c r="A51" s="445" t="s">
        <v>520</v>
      </c>
      <c r="B51" s="455">
        <f t="shared" si="18"/>
        <v>97</v>
      </c>
      <c r="C51" s="455">
        <f t="shared" si="18"/>
        <v>187</v>
      </c>
      <c r="D51" s="455">
        <f t="shared" si="18"/>
        <v>97</v>
      </c>
      <c r="E51" s="455">
        <f>IF($B$3="yes",K51+W51+Q51+AC51,K51+W51+Q51)</f>
        <v>54</v>
      </c>
      <c r="G51" s="445" t="s">
        <v>520</v>
      </c>
      <c r="H51" s="435">
        <v>97</v>
      </c>
      <c r="I51" s="435">
        <v>187</v>
      </c>
      <c r="J51" s="435">
        <v>97</v>
      </c>
      <c r="K51" s="1683">
        <v>54</v>
      </c>
      <c r="M51" s="445" t="s">
        <v>520</v>
      </c>
      <c r="N51" s="445"/>
      <c r="O51" s="445"/>
      <c r="P51" s="445"/>
      <c r="Q51" s="1677"/>
      <c r="Y51" s="445" t="s">
        <v>520</v>
      </c>
      <c r="Z51" s="1681"/>
      <c r="AA51" s="1681"/>
      <c r="AB51" s="1681"/>
      <c r="AC51" s="1681"/>
      <c r="AF51" s="445" t="s">
        <v>520</v>
      </c>
      <c r="AG51" s="445"/>
      <c r="AH51" s="445"/>
      <c r="AI51" s="445"/>
      <c r="AJ51" s="1677"/>
      <c r="AL51" s="445" t="s">
        <v>520</v>
      </c>
      <c r="AM51" s="445"/>
      <c r="AN51" s="445"/>
      <c r="AO51" s="445"/>
      <c r="AP51" s="1677"/>
    </row>
    <row r="52" spans="1:42">
      <c r="A52" s="446"/>
      <c r="B52" s="1700">
        <f>SUM(B34:B51)</f>
        <v>257050</v>
      </c>
      <c r="C52" s="1700">
        <f>SUM(C34:C51)</f>
        <v>244860</v>
      </c>
      <c r="D52" s="1700">
        <f>SUM(D34:D51)</f>
        <v>235619</v>
      </c>
      <c r="E52" s="455">
        <f>IF(B3="YES",K52+W52+Q52+AC52-AC52,K52+W52+Q52)</f>
        <v>215568</v>
      </c>
      <c r="F52">
        <v>275604</v>
      </c>
      <c r="G52" s="446"/>
      <c r="H52" s="447">
        <f>SUM(H34:H51)</f>
        <v>306525</v>
      </c>
      <c r="I52" s="447">
        <f>SUM(I34:I51)</f>
        <v>295610</v>
      </c>
      <c r="J52" s="447">
        <f>SUM(J34:J51)</f>
        <v>291933</v>
      </c>
      <c r="K52" s="447">
        <f>SUM(K34:K51)</f>
        <v>248110</v>
      </c>
      <c r="M52" s="446"/>
      <c r="N52" s="1776"/>
      <c r="O52" s="1776"/>
      <c r="P52" s="1776"/>
      <c r="Q52" s="447">
        <f>SUM(Q34:Q51)</f>
        <v>-32542</v>
      </c>
      <c r="S52" s="447">
        <f>SUM(S34:S51)</f>
        <v>0</v>
      </c>
      <c r="T52" s="447">
        <f>SUM(T34:T51)</f>
        <v>0</v>
      </c>
      <c r="U52" s="447">
        <f>SUM(U34:U51)</f>
        <v>0</v>
      </c>
      <c r="V52" s="447">
        <f>SUM(V34:V51)</f>
        <v>0</v>
      </c>
      <c r="W52" s="447">
        <f>SUM(W34:W51)</f>
        <v>0</v>
      </c>
      <c r="Y52" s="1678"/>
      <c r="Z52" s="447">
        <f>SUM(Z34:Z51)</f>
        <v>3493</v>
      </c>
      <c r="AA52" s="447">
        <f>SUM(AA34:AA51)</f>
        <v>4180</v>
      </c>
      <c r="AB52" s="447">
        <f>SUM(AB34:AB51)</f>
        <v>5153</v>
      </c>
      <c r="AC52" s="447">
        <f>SUM(AC34:AC51)</f>
        <v>6130</v>
      </c>
      <c r="AF52" s="446"/>
      <c r="AG52" s="1776"/>
      <c r="AH52" s="1776"/>
      <c r="AI52" s="1776"/>
      <c r="AJ52" s="447">
        <f>SUM(AJ34:AJ51)</f>
        <v>27494</v>
      </c>
      <c r="AL52" s="446"/>
      <c r="AM52" s="1776"/>
      <c r="AN52" s="1776"/>
      <c r="AO52" s="1776"/>
      <c r="AP52" s="447">
        <f>SUM(AP34:AP51)</f>
        <v>-32542</v>
      </c>
    </row>
    <row r="53" spans="1:42">
      <c r="A53" s="448"/>
      <c r="E53" s="455">
        <f>SUM(E34:E51)</f>
        <v>215568</v>
      </c>
      <c r="G53" s="448"/>
      <c r="H53" s="435"/>
      <c r="I53" s="435"/>
      <c r="J53" s="435"/>
      <c r="K53" s="1186"/>
      <c r="M53" s="448"/>
      <c r="N53" s="448"/>
      <c r="O53" s="448"/>
      <c r="P53" s="448"/>
      <c r="Y53" s="1685"/>
      <c r="Z53" s="1685"/>
      <c r="AA53" s="1685"/>
      <c r="AB53" s="1685"/>
      <c r="AC53" s="1685"/>
      <c r="AF53" s="448"/>
      <c r="AG53" s="448"/>
      <c r="AH53" s="448"/>
      <c r="AI53" s="448"/>
      <c r="AL53" s="448"/>
      <c r="AM53" s="448"/>
      <c r="AN53" s="448"/>
      <c r="AO53" s="448"/>
    </row>
    <row r="54" spans="1:42">
      <c r="A54" s="434"/>
      <c r="G54" s="434"/>
      <c r="H54" s="435"/>
      <c r="I54" s="435"/>
      <c r="J54" s="435"/>
      <c r="K54" s="641"/>
      <c r="M54" s="434"/>
      <c r="N54" s="434"/>
      <c r="O54" s="434"/>
      <c r="P54" s="434"/>
      <c r="Q54" s="1676"/>
      <c r="Y54" s="1686"/>
      <c r="Z54" s="1686"/>
      <c r="AA54" s="1686"/>
      <c r="AB54" s="1686"/>
      <c r="AC54" s="1686"/>
      <c r="AF54" s="434"/>
      <c r="AG54" s="434"/>
      <c r="AH54" s="434"/>
      <c r="AI54" s="434"/>
      <c r="AJ54" s="1676"/>
      <c r="AL54" s="434"/>
      <c r="AM54" s="434"/>
      <c r="AN54" s="434"/>
      <c r="AO54" s="434"/>
      <c r="AP54" s="1676"/>
    </row>
    <row r="55" spans="1:42">
      <c r="A55" s="434"/>
      <c r="G55" s="434"/>
      <c r="H55" s="434"/>
      <c r="I55" s="434"/>
      <c r="J55" s="434"/>
      <c r="K55" s="643"/>
      <c r="M55" s="434"/>
      <c r="N55" s="434"/>
      <c r="O55" s="434"/>
      <c r="P55" s="434"/>
      <c r="Q55" s="1676"/>
      <c r="Y55" s="452"/>
      <c r="Z55" s="452"/>
      <c r="AA55" s="452"/>
      <c r="AB55" s="452"/>
      <c r="AC55" s="452"/>
      <c r="AF55" s="434"/>
      <c r="AG55" s="434"/>
      <c r="AH55" s="434"/>
      <c r="AI55" s="434"/>
      <c r="AJ55" s="1676"/>
      <c r="AL55" s="434"/>
      <c r="AM55" s="434"/>
      <c r="AN55" s="434"/>
      <c r="AO55" s="434"/>
      <c r="AP55" s="1676"/>
    </row>
    <row r="56" spans="1:42">
      <c r="A56" s="439" t="s">
        <v>522</v>
      </c>
      <c r="G56" s="439" t="s">
        <v>522</v>
      </c>
      <c r="H56" s="440"/>
      <c r="I56" s="440"/>
      <c r="J56" s="440"/>
      <c r="K56" s="1679"/>
      <c r="M56" s="439"/>
      <c r="N56" s="1680"/>
      <c r="O56" s="1680"/>
      <c r="P56" s="1680"/>
      <c r="Y56" s="1675"/>
      <c r="Z56" s="1675"/>
      <c r="AA56" s="1675"/>
      <c r="AB56" s="1675"/>
      <c r="AC56" s="1675"/>
      <c r="AF56" s="439"/>
      <c r="AG56" s="1680"/>
      <c r="AH56" s="1680"/>
      <c r="AI56" s="1680"/>
      <c r="AL56" s="439"/>
      <c r="AM56" s="1680"/>
      <c r="AN56" s="1680"/>
      <c r="AO56" s="1680"/>
    </row>
    <row r="57" spans="1:42">
      <c r="A57" s="441" t="s">
        <v>513</v>
      </c>
      <c r="B57" s="455">
        <f>H57+T57</f>
        <v>18251</v>
      </c>
      <c r="C57" s="455">
        <f>I57+U57</f>
        <v>16857</v>
      </c>
      <c r="D57" s="455">
        <f>J57+V57</f>
        <v>14787</v>
      </c>
      <c r="E57" s="455">
        <f>K57+W57+Q57</f>
        <v>13928</v>
      </c>
      <c r="G57" s="441" t="s">
        <v>513</v>
      </c>
      <c r="H57" s="435">
        <v>18251</v>
      </c>
      <c r="I57" s="435">
        <v>16857</v>
      </c>
      <c r="J57" s="435">
        <v>14787</v>
      </c>
      <c r="K57" s="1186">
        <v>13928</v>
      </c>
      <c r="M57" s="441" t="s">
        <v>513</v>
      </c>
      <c r="N57" s="445">
        <f t="shared" ref="N57:N68" si="19">IF($B$4="no",AG57,AM57)</f>
        <v>0</v>
      </c>
      <c r="O57" s="445">
        <f t="shared" ref="O57:O68" si="20">IF($B$4="no",AH57,AN57)</f>
        <v>0</v>
      </c>
      <c r="P57" s="445">
        <f t="shared" ref="P57:P68" si="21">IF($B$4="no",AI57,AO57)</f>
        <v>0</v>
      </c>
      <c r="Q57" s="445">
        <f t="shared" ref="Q57:Q68" si="22">IF($B$4="no",AJ57,AP57)</f>
        <v>0</v>
      </c>
      <c r="Y57" s="445"/>
      <c r="Z57" s="445"/>
      <c r="AA57" s="445"/>
      <c r="AB57" s="445"/>
      <c r="AC57" s="445"/>
      <c r="AF57" s="441" t="s">
        <v>513</v>
      </c>
      <c r="AG57" s="445"/>
      <c r="AH57" s="445"/>
      <c r="AI57" s="445"/>
      <c r="AJ57" s="1676"/>
      <c r="AL57" s="441" t="s">
        <v>513</v>
      </c>
      <c r="AM57" s="445"/>
      <c r="AN57" s="445"/>
      <c r="AO57" s="445"/>
      <c r="AP57" s="1676"/>
    </row>
    <row r="58" spans="1:42">
      <c r="A58" s="441" t="s">
        <v>6</v>
      </c>
      <c r="B58" s="455">
        <f>H58+T58+N58</f>
        <v>41530</v>
      </c>
      <c r="C58" s="455">
        <f>I58+U58+O58</f>
        <v>44750</v>
      </c>
      <c r="D58" s="455">
        <f>J58+V58+P58</f>
        <v>46206</v>
      </c>
      <c r="E58" s="455">
        <f t="shared" ref="E58:E68" si="23">K58+W58+Q58</f>
        <v>45499</v>
      </c>
      <c r="G58" s="441" t="s">
        <v>6</v>
      </c>
      <c r="H58" s="435">
        <v>36773</v>
      </c>
      <c r="I58" s="435">
        <v>40096</v>
      </c>
      <c r="J58" s="435">
        <v>41318</v>
      </c>
      <c r="K58" s="1186">
        <v>45275</v>
      </c>
      <c r="M58" s="441" t="s">
        <v>6</v>
      </c>
      <c r="N58" s="445">
        <f t="shared" si="19"/>
        <v>4757</v>
      </c>
      <c r="O58" s="445">
        <f t="shared" si="20"/>
        <v>4654</v>
      </c>
      <c r="P58" s="445">
        <f t="shared" si="21"/>
        <v>4888</v>
      </c>
      <c r="Q58" s="445">
        <f t="shared" si="22"/>
        <v>224</v>
      </c>
      <c r="Y58" s="445"/>
      <c r="Z58" s="445"/>
      <c r="AA58" s="445"/>
      <c r="AB58" s="445"/>
      <c r="AC58" s="445"/>
      <c r="AF58" s="441" t="s">
        <v>6</v>
      </c>
      <c r="AG58" s="445"/>
      <c r="AH58" s="445"/>
      <c r="AI58" s="445"/>
      <c r="AJ58" s="1676">
        <f>-AJ79</f>
        <v>-5082</v>
      </c>
      <c r="AL58" s="441" t="s">
        <v>6</v>
      </c>
      <c r="AM58" s="445">
        <f>-AM79</f>
        <v>4757</v>
      </c>
      <c r="AN58" s="445">
        <f t="shared" ref="AN58:AP60" si="24">-AN79</f>
        <v>4654</v>
      </c>
      <c r="AO58" s="445">
        <f t="shared" si="24"/>
        <v>4888</v>
      </c>
      <c r="AP58" s="445">
        <f t="shared" si="24"/>
        <v>224</v>
      </c>
    </row>
    <row r="59" spans="1:42">
      <c r="A59" s="441" t="s">
        <v>8</v>
      </c>
      <c r="B59" s="455">
        <f t="shared" ref="B59:B68" si="25">H59+T59</f>
        <v>245</v>
      </c>
      <c r="C59" s="455">
        <f>I59+U59</f>
        <v>369</v>
      </c>
      <c r="D59" s="455">
        <f>J59+V59</f>
        <v>465</v>
      </c>
      <c r="E59" s="455">
        <f t="shared" si="23"/>
        <v>214</v>
      </c>
      <c r="G59" s="441" t="s">
        <v>8</v>
      </c>
      <c r="H59" s="435">
        <v>245</v>
      </c>
      <c r="I59" s="435">
        <v>369</v>
      </c>
      <c r="J59" s="435">
        <v>465</v>
      </c>
      <c r="K59" s="1186">
        <v>214</v>
      </c>
      <c r="M59" s="441" t="s">
        <v>8</v>
      </c>
      <c r="N59" s="445">
        <f t="shared" si="19"/>
        <v>0</v>
      </c>
      <c r="O59" s="445">
        <f t="shared" si="20"/>
        <v>0</v>
      </c>
      <c r="P59" s="445">
        <f t="shared" si="21"/>
        <v>0</v>
      </c>
      <c r="Q59" s="445">
        <f t="shared" si="22"/>
        <v>0</v>
      </c>
      <c r="Y59" s="445"/>
      <c r="Z59" s="445"/>
      <c r="AA59" s="445"/>
      <c r="AB59" s="445"/>
      <c r="AC59" s="445"/>
      <c r="AF59" s="441" t="s">
        <v>8</v>
      </c>
      <c r="AG59" s="445"/>
      <c r="AH59" s="445"/>
      <c r="AI59" s="445"/>
      <c r="AL59" s="441" t="s">
        <v>8</v>
      </c>
      <c r="AM59" s="445"/>
      <c r="AN59" s="445"/>
      <c r="AO59" s="445"/>
      <c r="AP59" s="1676"/>
    </row>
    <row r="60" spans="1:42">
      <c r="A60" s="442" t="s">
        <v>2</v>
      </c>
      <c r="B60" s="455">
        <f>H60+T60+N60</f>
        <v>4808</v>
      </c>
      <c r="C60" s="455">
        <f>I60+U60+O60</f>
        <v>5492</v>
      </c>
      <c r="D60" s="455">
        <f>J60+V60+P60</f>
        <v>5649</v>
      </c>
      <c r="E60" s="455">
        <f>K60+W60+Q60</f>
        <v>5588</v>
      </c>
      <c r="G60" s="442" t="s">
        <v>2</v>
      </c>
      <c r="H60" s="443">
        <v>4700</v>
      </c>
      <c r="I60" s="443">
        <v>5369</v>
      </c>
      <c r="J60" s="443">
        <v>5519</v>
      </c>
      <c r="K60" s="1187">
        <v>5468</v>
      </c>
      <c r="M60" s="442" t="s">
        <v>2</v>
      </c>
      <c r="N60" s="445">
        <f t="shared" si="19"/>
        <v>108</v>
      </c>
      <c r="O60" s="445">
        <f t="shared" si="20"/>
        <v>123</v>
      </c>
      <c r="P60" s="445">
        <f t="shared" si="21"/>
        <v>130</v>
      </c>
      <c r="Q60" s="445">
        <f t="shared" si="22"/>
        <v>120</v>
      </c>
      <c r="Y60" s="445"/>
      <c r="Z60" s="445"/>
      <c r="AA60" s="445"/>
      <c r="AB60" s="445"/>
      <c r="AC60" s="445"/>
      <c r="AF60" s="442" t="s">
        <v>2</v>
      </c>
      <c r="AG60" s="1775"/>
      <c r="AH60" s="1775"/>
      <c r="AI60" s="1775"/>
      <c r="AJ60" s="1676"/>
      <c r="AL60" s="442" t="s">
        <v>2</v>
      </c>
      <c r="AM60" s="445">
        <f>-AM81</f>
        <v>108</v>
      </c>
      <c r="AN60" s="445">
        <f t="shared" si="24"/>
        <v>123</v>
      </c>
      <c r="AO60" s="445">
        <f t="shared" si="24"/>
        <v>130</v>
      </c>
      <c r="AP60" s="445">
        <f t="shared" si="24"/>
        <v>120</v>
      </c>
    </row>
    <row r="61" spans="1:42">
      <c r="A61" s="441" t="s">
        <v>10</v>
      </c>
      <c r="B61" s="455">
        <f t="shared" si="25"/>
        <v>0</v>
      </c>
      <c r="C61" s="455">
        <f t="shared" ref="C61:D65" si="26">I61+U61</f>
        <v>0</v>
      </c>
      <c r="D61" s="455">
        <f t="shared" si="26"/>
        <v>0</v>
      </c>
      <c r="E61" s="455">
        <f t="shared" si="23"/>
        <v>0</v>
      </c>
      <c r="G61" s="441" t="s">
        <v>10</v>
      </c>
      <c r="H61" s="434">
        <v>0</v>
      </c>
      <c r="I61" s="434">
        <v>0</v>
      </c>
      <c r="J61" s="434">
        <v>0</v>
      </c>
      <c r="K61" s="1186">
        <v>0</v>
      </c>
      <c r="M61" s="441" t="s">
        <v>10</v>
      </c>
      <c r="N61" s="445">
        <f t="shared" si="19"/>
        <v>0</v>
      </c>
      <c r="O61" s="445">
        <f t="shared" si="20"/>
        <v>0</v>
      </c>
      <c r="P61" s="445">
        <f t="shared" si="21"/>
        <v>0</v>
      </c>
      <c r="Q61" s="445">
        <f t="shared" si="22"/>
        <v>0</v>
      </c>
      <c r="Y61" s="445"/>
      <c r="Z61" s="445"/>
      <c r="AA61" s="445"/>
      <c r="AB61" s="445"/>
      <c r="AC61" s="445"/>
      <c r="AF61" s="441" t="s">
        <v>10</v>
      </c>
      <c r="AG61" s="445"/>
      <c r="AH61" s="445"/>
      <c r="AI61" s="445"/>
      <c r="AJ61" s="1676"/>
      <c r="AL61" s="441" t="s">
        <v>10</v>
      </c>
      <c r="AM61" s="445"/>
      <c r="AN61" s="445"/>
      <c r="AO61" s="445"/>
      <c r="AP61" s="1676"/>
    </row>
    <row r="62" spans="1:42">
      <c r="A62" s="441" t="s">
        <v>4</v>
      </c>
      <c r="B62" s="455">
        <f t="shared" si="25"/>
        <v>35958</v>
      </c>
      <c r="C62" s="455">
        <f t="shared" si="26"/>
        <v>36156</v>
      </c>
      <c r="D62" s="455">
        <f t="shared" si="26"/>
        <v>36088</v>
      </c>
      <c r="E62" s="455">
        <f t="shared" si="23"/>
        <v>37868</v>
      </c>
      <c r="G62" s="441" t="s">
        <v>4</v>
      </c>
      <c r="H62" s="435">
        <v>35958</v>
      </c>
      <c r="I62" s="435">
        <v>36156</v>
      </c>
      <c r="J62" s="435">
        <v>36088</v>
      </c>
      <c r="K62" s="1186">
        <v>37868</v>
      </c>
      <c r="M62" s="441" t="s">
        <v>4</v>
      </c>
      <c r="N62" s="445">
        <f t="shared" si="19"/>
        <v>0</v>
      </c>
      <c r="O62" s="445">
        <f t="shared" si="20"/>
        <v>0</v>
      </c>
      <c r="P62" s="445">
        <f t="shared" si="21"/>
        <v>0</v>
      </c>
      <c r="Q62" s="445">
        <f t="shared" si="22"/>
        <v>0</v>
      </c>
      <c r="Y62" s="445"/>
      <c r="Z62" s="445"/>
      <c r="AA62" s="445"/>
      <c r="AB62" s="445"/>
      <c r="AC62" s="445"/>
      <c r="AF62" s="441" t="s">
        <v>4</v>
      </c>
      <c r="AG62" s="445"/>
      <c r="AH62" s="445"/>
      <c r="AI62" s="445"/>
      <c r="AL62" s="441" t="s">
        <v>4</v>
      </c>
      <c r="AM62" s="445"/>
      <c r="AN62" s="445"/>
      <c r="AO62" s="445"/>
      <c r="AP62" s="1676"/>
    </row>
    <row r="63" spans="1:42">
      <c r="A63" s="441" t="s">
        <v>14</v>
      </c>
      <c r="B63" s="455">
        <f t="shared" si="25"/>
        <v>0</v>
      </c>
      <c r="C63" s="455">
        <f t="shared" si="26"/>
        <v>0</v>
      </c>
      <c r="D63" s="455">
        <f t="shared" si="26"/>
        <v>0</v>
      </c>
      <c r="E63" s="455">
        <f t="shared" si="23"/>
        <v>0</v>
      </c>
      <c r="G63" s="441" t="s">
        <v>14</v>
      </c>
      <c r="H63" s="434">
        <v>0</v>
      </c>
      <c r="I63" s="434">
        <v>0</v>
      </c>
      <c r="J63" s="434">
        <v>0</v>
      </c>
      <c r="K63" s="1186">
        <v>0</v>
      </c>
      <c r="M63" s="441" t="s">
        <v>14</v>
      </c>
      <c r="N63" s="445">
        <f t="shared" si="19"/>
        <v>0</v>
      </c>
      <c r="O63" s="445">
        <f t="shared" si="20"/>
        <v>0</v>
      </c>
      <c r="P63" s="445">
        <f t="shared" si="21"/>
        <v>0</v>
      </c>
      <c r="Q63" s="445">
        <f t="shared" si="22"/>
        <v>0</v>
      </c>
      <c r="Y63" s="445"/>
      <c r="Z63" s="445"/>
      <c r="AA63" s="445"/>
      <c r="AB63" s="445"/>
      <c r="AC63" s="445"/>
      <c r="AF63" s="441" t="s">
        <v>14</v>
      </c>
      <c r="AG63" s="445"/>
      <c r="AH63" s="445"/>
      <c r="AI63" s="445"/>
      <c r="AL63" s="441" t="s">
        <v>14</v>
      </c>
      <c r="AM63" s="445"/>
      <c r="AN63" s="445"/>
      <c r="AO63" s="445"/>
    </row>
    <row r="64" spans="1:42">
      <c r="A64" s="442" t="s">
        <v>17</v>
      </c>
      <c r="B64" s="455">
        <f t="shared" si="25"/>
        <v>38378</v>
      </c>
      <c r="C64" s="455">
        <f t="shared" si="26"/>
        <v>40021</v>
      </c>
      <c r="D64" s="455">
        <f t="shared" si="26"/>
        <v>38413</v>
      </c>
      <c r="E64" s="455">
        <f t="shared" si="23"/>
        <v>38929</v>
      </c>
      <c r="G64" s="442" t="s">
        <v>17</v>
      </c>
      <c r="H64" s="443">
        <v>38378</v>
      </c>
      <c r="I64" s="443">
        <v>40021</v>
      </c>
      <c r="J64" s="443">
        <v>38413</v>
      </c>
      <c r="K64" s="1187">
        <v>38929</v>
      </c>
      <c r="M64" s="442" t="s">
        <v>17</v>
      </c>
      <c r="N64" s="445">
        <f t="shared" si="19"/>
        <v>0</v>
      </c>
      <c r="O64" s="445">
        <f t="shared" si="20"/>
        <v>0</v>
      </c>
      <c r="P64" s="445">
        <f t="shared" si="21"/>
        <v>0</v>
      </c>
      <c r="Q64" s="445">
        <f t="shared" si="22"/>
        <v>0</v>
      </c>
      <c r="Y64" s="445"/>
      <c r="Z64" s="445"/>
      <c r="AA64" s="445"/>
      <c r="AB64" s="445"/>
      <c r="AC64" s="445"/>
      <c r="AF64" s="442" t="s">
        <v>17</v>
      </c>
      <c r="AG64" s="1775"/>
      <c r="AH64" s="1775"/>
      <c r="AI64" s="1775"/>
      <c r="AL64" s="442" t="s">
        <v>17</v>
      </c>
      <c r="AM64" s="1775"/>
      <c r="AN64" s="1775"/>
      <c r="AO64" s="1775"/>
      <c r="AP64" s="1676"/>
    </row>
    <row r="65" spans="1:42">
      <c r="A65" s="441" t="s">
        <v>316</v>
      </c>
      <c r="B65" s="455">
        <f t="shared" si="25"/>
        <v>0</v>
      </c>
      <c r="C65" s="455">
        <f t="shared" si="26"/>
        <v>0</v>
      </c>
      <c r="D65" s="455">
        <f t="shared" si="26"/>
        <v>0</v>
      </c>
      <c r="E65" s="455">
        <f t="shared" si="23"/>
        <v>0</v>
      </c>
      <c r="G65" s="441" t="s">
        <v>316</v>
      </c>
      <c r="H65" s="434">
        <v>0</v>
      </c>
      <c r="I65" s="434">
        <v>0</v>
      </c>
      <c r="J65" s="434">
        <v>0</v>
      </c>
      <c r="K65" s="1186">
        <v>0</v>
      </c>
      <c r="M65" s="441" t="s">
        <v>316</v>
      </c>
      <c r="N65" s="445">
        <f t="shared" si="19"/>
        <v>0</v>
      </c>
      <c r="O65" s="445">
        <f t="shared" si="20"/>
        <v>0</v>
      </c>
      <c r="P65" s="445">
        <f t="shared" si="21"/>
        <v>0</v>
      </c>
      <c r="Q65" s="445">
        <f t="shared" si="22"/>
        <v>0</v>
      </c>
      <c r="Y65" s="445"/>
      <c r="Z65" s="445"/>
      <c r="AA65" s="445"/>
      <c r="AB65" s="445"/>
      <c r="AC65" s="445"/>
      <c r="AF65" s="441" t="s">
        <v>316</v>
      </c>
      <c r="AG65" s="445"/>
      <c r="AH65" s="445"/>
      <c r="AI65" s="445"/>
      <c r="AJ65" s="1676"/>
      <c r="AL65" s="441" t="s">
        <v>316</v>
      </c>
      <c r="AM65" s="445"/>
      <c r="AN65" s="445"/>
      <c r="AO65" s="445"/>
      <c r="AP65" s="1676"/>
    </row>
    <row r="66" spans="1:42">
      <c r="A66" s="441" t="s">
        <v>7</v>
      </c>
      <c r="B66" s="455">
        <f>H66+T66+N66</f>
        <v>69318</v>
      </c>
      <c r="C66" s="455">
        <f>I66+U66+O66</f>
        <v>76670</v>
      </c>
      <c r="D66" s="455">
        <f>J66+V66+P66</f>
        <v>79216</v>
      </c>
      <c r="E66" s="455">
        <f>K66+W66+Q66</f>
        <v>83969</v>
      </c>
      <c r="G66" s="441" t="s">
        <v>7</v>
      </c>
      <c r="H66" s="435">
        <v>66789</v>
      </c>
      <c r="I66" s="435">
        <v>74663</v>
      </c>
      <c r="J66" s="435">
        <v>77434</v>
      </c>
      <c r="K66" s="1186">
        <v>82247</v>
      </c>
      <c r="M66" s="441" t="s">
        <v>7</v>
      </c>
      <c r="N66" s="445">
        <f t="shared" si="19"/>
        <v>2529</v>
      </c>
      <c r="O66" s="445">
        <f t="shared" si="20"/>
        <v>2007</v>
      </c>
      <c r="P66" s="445">
        <f t="shared" si="21"/>
        <v>1782</v>
      </c>
      <c r="Q66" s="445">
        <f t="shared" si="22"/>
        <v>1722</v>
      </c>
      <c r="Y66" s="445"/>
      <c r="Z66" s="445"/>
      <c r="AA66" s="445"/>
      <c r="AB66" s="445"/>
      <c r="AC66" s="445"/>
      <c r="AF66" s="441" t="s">
        <v>7</v>
      </c>
      <c r="AG66" s="445"/>
      <c r="AH66" s="445"/>
      <c r="AI66" s="445"/>
      <c r="AJ66" s="1677"/>
      <c r="AL66" s="441" t="s">
        <v>7</v>
      </c>
      <c r="AM66" s="445">
        <f>-AM87</f>
        <v>2529</v>
      </c>
      <c r="AN66" s="445">
        <f>-AN87</f>
        <v>2007</v>
      </c>
      <c r="AO66" s="445">
        <f>-AO87</f>
        <v>1782</v>
      </c>
      <c r="AP66" s="445">
        <f>-AP87</f>
        <v>1722</v>
      </c>
    </row>
    <row r="67" spans="1:42">
      <c r="A67" s="441" t="s">
        <v>514</v>
      </c>
      <c r="B67" s="455">
        <f t="shared" si="25"/>
        <v>32378</v>
      </c>
      <c r="C67" s="455">
        <f>I67+U67</f>
        <v>28930</v>
      </c>
      <c r="D67" s="455">
        <f>J67+V67</f>
        <v>25250</v>
      </c>
      <c r="E67" s="455">
        <f t="shared" si="23"/>
        <v>21102</v>
      </c>
      <c r="G67" s="441" t="s">
        <v>514</v>
      </c>
      <c r="H67" s="435">
        <v>32378</v>
      </c>
      <c r="I67" s="435">
        <v>28930</v>
      </c>
      <c r="J67" s="435">
        <v>25250</v>
      </c>
      <c r="K67" s="1186">
        <v>21102</v>
      </c>
      <c r="M67" s="441" t="s">
        <v>514</v>
      </c>
      <c r="N67" s="445">
        <f t="shared" si="19"/>
        <v>0</v>
      </c>
      <c r="O67" s="445">
        <f t="shared" si="20"/>
        <v>0</v>
      </c>
      <c r="P67" s="445">
        <f t="shared" si="21"/>
        <v>0</v>
      </c>
      <c r="Q67" s="445">
        <f t="shared" si="22"/>
        <v>0</v>
      </c>
      <c r="Y67" s="445"/>
      <c r="Z67" s="445"/>
      <c r="AA67" s="445"/>
      <c r="AB67" s="445"/>
      <c r="AC67" s="445"/>
      <c r="AF67" s="441" t="s">
        <v>514</v>
      </c>
      <c r="AG67" s="445"/>
      <c r="AH67" s="445"/>
      <c r="AI67" s="445"/>
      <c r="AL67" s="441" t="s">
        <v>514</v>
      </c>
      <c r="AM67" s="445"/>
      <c r="AN67" s="445"/>
      <c r="AO67" s="445"/>
    </row>
    <row r="68" spans="1:42">
      <c r="A68" s="442" t="s">
        <v>515</v>
      </c>
      <c r="B68" s="455">
        <f t="shared" si="25"/>
        <v>2891</v>
      </c>
      <c r="C68" s="455">
        <f>I68+U68</f>
        <v>2693</v>
      </c>
      <c r="D68" s="455">
        <f>J68+V68</f>
        <v>3106</v>
      </c>
      <c r="E68" s="455">
        <f t="shared" si="23"/>
        <v>3935</v>
      </c>
      <c r="G68" s="442" t="s">
        <v>515</v>
      </c>
      <c r="H68" s="443">
        <v>2891</v>
      </c>
      <c r="I68" s="443">
        <v>2693</v>
      </c>
      <c r="J68" s="443">
        <v>3106</v>
      </c>
      <c r="K68" s="1187">
        <v>3935</v>
      </c>
      <c r="M68" s="442" t="s">
        <v>515</v>
      </c>
      <c r="N68" s="445">
        <f t="shared" si="19"/>
        <v>0</v>
      </c>
      <c r="O68" s="445">
        <f t="shared" si="20"/>
        <v>0</v>
      </c>
      <c r="P68" s="445">
        <f t="shared" si="21"/>
        <v>0</v>
      </c>
      <c r="Q68" s="445">
        <f t="shared" si="22"/>
        <v>0</v>
      </c>
      <c r="Y68" s="445"/>
      <c r="Z68" s="445"/>
      <c r="AA68" s="445"/>
      <c r="AB68" s="445"/>
      <c r="AC68" s="445"/>
      <c r="AF68" s="442" t="s">
        <v>515</v>
      </c>
      <c r="AG68" s="1775"/>
      <c r="AH68" s="1775"/>
      <c r="AI68" s="1775"/>
      <c r="AJ68" s="1676"/>
      <c r="AL68" s="442" t="s">
        <v>515</v>
      </c>
      <c r="AM68" s="1775"/>
      <c r="AN68" s="1775"/>
      <c r="AO68" s="1775"/>
      <c r="AP68" s="1676"/>
    </row>
    <row r="69" spans="1:42">
      <c r="A69" s="441"/>
      <c r="G69" s="441"/>
      <c r="H69" s="434"/>
      <c r="I69" s="434"/>
      <c r="J69" s="434"/>
      <c r="K69" s="1188"/>
      <c r="M69" s="441"/>
      <c r="N69" s="445"/>
      <c r="O69" s="445"/>
      <c r="P69" s="445"/>
      <c r="Q69" s="1677"/>
      <c r="Y69" s="445"/>
      <c r="Z69" s="445"/>
      <c r="AA69" s="445"/>
      <c r="AB69" s="445"/>
      <c r="AC69" s="445"/>
      <c r="AF69" s="441"/>
      <c r="AG69" s="445"/>
      <c r="AH69" s="445"/>
      <c r="AI69" s="445"/>
      <c r="AJ69" s="1677"/>
      <c r="AL69" s="441"/>
      <c r="AM69" s="445"/>
      <c r="AN69" s="445"/>
      <c r="AO69" s="445"/>
      <c r="AP69" s="1677"/>
    </row>
    <row r="70" spans="1:42">
      <c r="A70" s="441" t="s">
        <v>516</v>
      </c>
      <c r="B70" s="455">
        <f t="shared" ref="B70:D74" si="27">H70+T70</f>
        <v>0</v>
      </c>
      <c r="C70" s="455">
        <f t="shared" si="27"/>
        <v>0</v>
      </c>
      <c r="D70" s="455">
        <f t="shared" si="27"/>
        <v>0</v>
      </c>
      <c r="E70" s="455">
        <f t="shared" ref="E70:E75" si="28">K70+W70+Q70</f>
        <v>0</v>
      </c>
      <c r="G70" s="441" t="s">
        <v>516</v>
      </c>
      <c r="H70" s="434"/>
      <c r="I70" s="434"/>
      <c r="J70" s="434"/>
      <c r="K70" s="1683"/>
      <c r="M70" s="441" t="s">
        <v>516</v>
      </c>
      <c r="N70" s="445"/>
      <c r="O70" s="445"/>
      <c r="P70" s="445"/>
      <c r="Y70" s="445"/>
      <c r="Z70" s="445"/>
      <c r="AA70" s="445"/>
      <c r="AB70" s="445"/>
      <c r="AC70" s="445"/>
      <c r="AF70" s="441" t="s">
        <v>516</v>
      </c>
      <c r="AG70" s="445"/>
      <c r="AH70" s="445"/>
      <c r="AI70" s="445"/>
      <c r="AL70" s="441" t="s">
        <v>516</v>
      </c>
      <c r="AM70" s="445"/>
      <c r="AN70" s="445"/>
      <c r="AO70" s="445"/>
    </row>
    <row r="71" spans="1:42">
      <c r="A71" s="441" t="s">
        <v>517</v>
      </c>
      <c r="B71" s="455">
        <f t="shared" si="27"/>
        <v>0</v>
      </c>
      <c r="C71" s="455">
        <f t="shared" si="27"/>
        <v>0</v>
      </c>
      <c r="D71" s="455">
        <f t="shared" si="27"/>
        <v>0</v>
      </c>
      <c r="E71" s="455">
        <f t="shared" si="28"/>
        <v>0</v>
      </c>
      <c r="G71" s="441" t="s">
        <v>517</v>
      </c>
      <c r="H71" s="434"/>
      <c r="I71" s="434"/>
      <c r="J71" s="434"/>
      <c r="K71" s="1683"/>
      <c r="M71" s="441" t="s">
        <v>517</v>
      </c>
      <c r="N71" s="445"/>
      <c r="O71" s="445"/>
      <c r="P71" s="445"/>
      <c r="Q71" s="1677"/>
      <c r="Y71" s="445"/>
      <c r="Z71" s="445"/>
      <c r="AA71" s="445"/>
      <c r="AB71" s="445"/>
      <c r="AC71" s="445"/>
      <c r="AF71" s="441" t="s">
        <v>517</v>
      </c>
      <c r="AG71" s="445"/>
      <c r="AH71" s="445"/>
      <c r="AI71" s="445"/>
      <c r="AJ71" s="1677"/>
      <c r="AL71" s="441" t="s">
        <v>517</v>
      </c>
      <c r="AM71" s="445"/>
      <c r="AN71" s="445"/>
      <c r="AO71" s="445"/>
      <c r="AP71" s="1677"/>
    </row>
    <row r="72" spans="1:42">
      <c r="A72" s="442" t="s">
        <v>518</v>
      </c>
      <c r="B72" s="455">
        <f t="shared" si="27"/>
        <v>0</v>
      </c>
      <c r="C72" s="455">
        <f t="shared" si="27"/>
        <v>0</v>
      </c>
      <c r="D72" s="455">
        <f t="shared" si="27"/>
        <v>0</v>
      </c>
      <c r="E72" s="455">
        <f t="shared" si="28"/>
        <v>0</v>
      </c>
      <c r="G72" s="442" t="s">
        <v>518</v>
      </c>
      <c r="H72" s="444"/>
      <c r="I72" s="444"/>
      <c r="J72" s="444"/>
      <c r="K72" s="1684"/>
      <c r="M72" s="442" t="s">
        <v>518</v>
      </c>
      <c r="N72" s="1775"/>
      <c r="O72" s="1775"/>
      <c r="P72" s="1775"/>
      <c r="Q72" s="1677"/>
      <c r="Y72" s="445"/>
      <c r="Z72" s="445"/>
      <c r="AA72" s="445"/>
      <c r="AB72" s="445"/>
      <c r="AC72" s="445"/>
      <c r="AF72" s="442" t="s">
        <v>518</v>
      </c>
      <c r="AG72" s="1775"/>
      <c r="AH72" s="1775"/>
      <c r="AI72" s="1775"/>
      <c r="AJ72" s="1677"/>
      <c r="AL72" s="442" t="s">
        <v>518</v>
      </c>
      <c r="AM72" s="1775"/>
      <c r="AN72" s="1775"/>
      <c r="AO72" s="1775"/>
      <c r="AP72" s="1677"/>
    </row>
    <row r="73" spans="1:42">
      <c r="A73" s="441" t="s">
        <v>519</v>
      </c>
      <c r="B73" s="455">
        <f t="shared" si="27"/>
        <v>0</v>
      </c>
      <c r="C73" s="455">
        <f t="shared" si="27"/>
        <v>0</v>
      </c>
      <c r="D73" s="455">
        <f t="shared" si="27"/>
        <v>0</v>
      </c>
      <c r="E73" s="455">
        <f t="shared" si="28"/>
        <v>0</v>
      </c>
      <c r="G73" s="441" t="s">
        <v>519</v>
      </c>
      <c r="H73" s="434"/>
      <c r="I73" s="434"/>
      <c r="J73" s="434"/>
      <c r="K73" s="1683"/>
      <c r="M73" s="441" t="s">
        <v>519</v>
      </c>
      <c r="N73" s="445"/>
      <c r="O73" s="445"/>
      <c r="P73" s="445"/>
      <c r="Y73" s="445"/>
      <c r="Z73" s="445"/>
      <c r="AA73" s="445"/>
      <c r="AB73" s="445"/>
      <c r="AC73" s="445"/>
      <c r="AF73" s="441" t="s">
        <v>519</v>
      </c>
      <c r="AG73" s="445"/>
      <c r="AH73" s="445"/>
      <c r="AI73" s="445"/>
      <c r="AL73" s="441" t="s">
        <v>519</v>
      </c>
      <c r="AM73" s="445"/>
      <c r="AN73" s="445"/>
      <c r="AO73" s="445"/>
    </row>
    <row r="74" spans="1:42">
      <c r="A74" s="445" t="s">
        <v>520</v>
      </c>
      <c r="B74" s="455">
        <f t="shared" si="27"/>
        <v>0</v>
      </c>
      <c r="C74" s="455">
        <f t="shared" si="27"/>
        <v>0</v>
      </c>
      <c r="D74" s="455">
        <f t="shared" si="27"/>
        <v>0</v>
      </c>
      <c r="E74" s="455">
        <f t="shared" si="28"/>
        <v>0</v>
      </c>
      <c r="G74" s="445" t="s">
        <v>520</v>
      </c>
      <c r="H74" s="434"/>
      <c r="I74" s="434"/>
      <c r="J74" s="434"/>
      <c r="K74" s="1683"/>
      <c r="M74" s="445" t="s">
        <v>520</v>
      </c>
      <c r="N74" s="445"/>
      <c r="O74" s="445"/>
      <c r="P74" s="445"/>
      <c r="Y74" s="445"/>
      <c r="Z74" s="445"/>
      <c r="AA74" s="445"/>
      <c r="AB74" s="445"/>
      <c r="AC74" s="445"/>
      <c r="AF74" s="445" t="s">
        <v>520</v>
      </c>
      <c r="AG74" s="445"/>
      <c r="AH74" s="445"/>
      <c r="AI74" s="445"/>
      <c r="AL74" s="445" t="s">
        <v>520</v>
      </c>
      <c r="AM74" s="445"/>
      <c r="AN74" s="445"/>
      <c r="AO74" s="445"/>
    </row>
    <row r="75" spans="1:42">
      <c r="A75" s="446"/>
      <c r="B75" s="1700">
        <f>SUM(B57:B74)</f>
        <v>243757</v>
      </c>
      <c r="C75" s="1700">
        <f>SUM(C57:C74)</f>
        <v>251938</v>
      </c>
      <c r="D75" s="1700">
        <f>SUM(D57:D74)</f>
        <v>249180</v>
      </c>
      <c r="E75" s="455">
        <f t="shared" si="28"/>
        <v>251032</v>
      </c>
      <c r="F75">
        <v>243884</v>
      </c>
      <c r="G75" s="446"/>
      <c r="H75" s="447">
        <f>SUM(H57:H74)</f>
        <v>236363</v>
      </c>
      <c r="I75" s="447">
        <f>SUM(I57:I74)</f>
        <v>245154</v>
      </c>
      <c r="J75" s="447">
        <f>SUM(J57:J74)</f>
        <v>242380</v>
      </c>
      <c r="K75" s="447">
        <f>SUM(K57:K74)</f>
        <v>248966</v>
      </c>
      <c r="M75" s="446"/>
      <c r="N75" s="1776"/>
      <c r="O75" s="1776"/>
      <c r="P75" s="1776"/>
      <c r="Q75" s="447">
        <f>SUM(Q57:Q74)</f>
        <v>2066</v>
      </c>
      <c r="S75" s="447">
        <f>SUM(S57:S74)</f>
        <v>0</v>
      </c>
      <c r="T75" s="447">
        <f>SUM(T57:T74)</f>
        <v>0</v>
      </c>
      <c r="U75" s="447">
        <f>SUM(U57:U74)</f>
        <v>0</v>
      </c>
      <c r="V75" s="447">
        <f>SUM(V57:V74)</f>
        <v>0</v>
      </c>
      <c r="W75" s="447">
        <f>SUM(W57:W74)</f>
        <v>0</v>
      </c>
      <c r="Y75" s="1678"/>
      <c r="Z75" s="447">
        <f>SUM(Z57:Z74)</f>
        <v>0</v>
      </c>
      <c r="AA75" s="447">
        <f>SUM(AA57:AA74)</f>
        <v>0</v>
      </c>
      <c r="AB75" s="447">
        <f>SUM(AB57:AB74)</f>
        <v>0</v>
      </c>
      <c r="AC75" s="447">
        <f>SUM(AC57:AC74)</f>
        <v>0</v>
      </c>
      <c r="AF75" s="446"/>
      <c r="AG75" s="1776"/>
      <c r="AH75" s="1776"/>
      <c r="AI75" s="1776"/>
      <c r="AJ75" s="447">
        <f>SUM(AJ57:AJ74)</f>
        <v>-5082</v>
      </c>
      <c r="AL75" s="446"/>
      <c r="AM75" s="1776"/>
      <c r="AN75" s="1776"/>
      <c r="AO75" s="1776"/>
      <c r="AP75" s="447">
        <f>SUM(AP57:AP74)</f>
        <v>2066</v>
      </c>
    </row>
    <row r="76" spans="1:42">
      <c r="A76" s="434"/>
      <c r="E76" s="455">
        <f>SUM(E57:E74)</f>
        <v>251032</v>
      </c>
      <c r="G76" s="434"/>
      <c r="H76" s="434"/>
      <c r="I76" s="434"/>
      <c r="J76" s="435"/>
      <c r="K76" s="1186"/>
      <c r="M76" s="434"/>
      <c r="N76" s="434"/>
      <c r="O76" s="434"/>
      <c r="P76" s="434"/>
      <c r="S76" s="550"/>
      <c r="T76" s="433" t="s">
        <v>966</v>
      </c>
      <c r="U76" s="433" t="s">
        <v>967</v>
      </c>
      <c r="V76" s="433"/>
      <c r="W76" s="433"/>
      <c r="Y76" s="452" t="s">
        <v>1637</v>
      </c>
      <c r="Z76" s="452"/>
      <c r="AA76" s="452"/>
      <c r="AB76" s="452"/>
      <c r="AC76" s="452"/>
      <c r="AF76" s="434"/>
      <c r="AG76" s="434"/>
      <c r="AH76" s="434"/>
      <c r="AI76" s="434"/>
      <c r="AL76" s="434"/>
      <c r="AM76" s="434"/>
      <c r="AN76" s="434"/>
      <c r="AO76" s="434"/>
    </row>
    <row r="77" spans="1:42">
      <c r="A77" s="439" t="s">
        <v>523</v>
      </c>
      <c r="G77" s="439" t="s">
        <v>523</v>
      </c>
      <c r="H77" s="440"/>
      <c r="I77" s="440"/>
      <c r="J77" s="440"/>
      <c r="K77" s="1679"/>
      <c r="M77" s="439"/>
      <c r="N77" s="1680"/>
      <c r="O77" s="1680"/>
      <c r="P77" s="1680"/>
      <c r="S77" s="640" t="s">
        <v>791</v>
      </c>
      <c r="T77" s="211"/>
      <c r="U77" s="211"/>
      <c r="V77" s="211"/>
      <c r="W77" s="211"/>
      <c r="Y77" s="439" t="s">
        <v>523</v>
      </c>
      <c r="Z77" s="1680"/>
      <c r="AA77" s="1680"/>
      <c r="AB77" s="1680"/>
      <c r="AC77" s="1680"/>
      <c r="AF77" s="439"/>
      <c r="AG77" s="1680"/>
      <c r="AH77" s="1680"/>
      <c r="AI77" s="1680"/>
      <c r="AL77" s="439"/>
      <c r="AM77" s="1680"/>
      <c r="AN77" s="1680"/>
      <c r="AO77" s="1680"/>
    </row>
    <row r="78" spans="1:42">
      <c r="A78" s="441" t="s">
        <v>513</v>
      </c>
      <c r="B78" s="455">
        <f>IF($B$3="yes",H78+T78+Z78,H78+T78)</f>
        <v>8190</v>
      </c>
      <c r="C78" s="455">
        <f>IF($B$3="yes",I78+U78+AA78,I78+U78)</f>
        <v>8196</v>
      </c>
      <c r="D78" s="455">
        <f>IF($B$3="yes",J78+V78+AB78,J78+V78)</f>
        <v>7990</v>
      </c>
      <c r="E78" s="455">
        <f>IF($B$3="yes",K78+W78+Q78+AC78,K78+W78+Q78)</f>
        <v>7985</v>
      </c>
      <c r="G78" s="441" t="s">
        <v>513</v>
      </c>
      <c r="H78" s="435">
        <v>6034</v>
      </c>
      <c r="I78" s="435">
        <v>5988</v>
      </c>
      <c r="J78" s="435">
        <v>6310</v>
      </c>
      <c r="K78" s="1186">
        <v>5952</v>
      </c>
      <c r="M78" s="441" t="s">
        <v>513</v>
      </c>
      <c r="N78" s="445">
        <f t="shared" ref="N78:N89" si="29">IF($B$4="no",AG78,AM78)</f>
        <v>0</v>
      </c>
      <c r="O78" s="445">
        <f t="shared" ref="O78:O89" si="30">IF($B$4="no",AH78,AN78)</f>
        <v>0</v>
      </c>
      <c r="P78" s="445">
        <f t="shared" ref="P78:P89" si="31">IF($B$4="no",AI78,AO78)</f>
        <v>0</v>
      </c>
      <c r="Q78" s="445">
        <f t="shared" ref="Q78:Q89" si="32">IF($B$4="no",AJ78,AP78)</f>
        <v>0</v>
      </c>
      <c r="S78" s="461" t="s">
        <v>513</v>
      </c>
      <c r="T78" s="641">
        <v>2079</v>
      </c>
      <c r="U78" s="641">
        <v>2112</v>
      </c>
      <c r="V78" s="641">
        <v>1563</v>
      </c>
      <c r="W78" s="1186">
        <f>AVERAGE(T78:V78)</f>
        <v>1918</v>
      </c>
      <c r="Y78" s="441" t="s">
        <v>513</v>
      </c>
      <c r="Z78" s="1681">
        <v>77</v>
      </c>
      <c r="AA78" s="1681">
        <v>96</v>
      </c>
      <c r="AB78" s="1681">
        <v>117</v>
      </c>
      <c r="AC78" s="1681">
        <v>115</v>
      </c>
      <c r="AF78" s="441" t="s">
        <v>513</v>
      </c>
      <c r="AG78" s="445"/>
      <c r="AH78" s="445"/>
      <c r="AI78" s="445"/>
      <c r="AL78" s="441" t="s">
        <v>513</v>
      </c>
      <c r="AM78" s="445"/>
      <c r="AN78" s="445"/>
      <c r="AO78" s="445"/>
    </row>
    <row r="79" spans="1:42">
      <c r="A79" s="441" t="s">
        <v>6</v>
      </c>
      <c r="B79" s="455">
        <f>IF($B$3="yes",H79+T79+Z79+N79,H79+T79+N79)</f>
        <v>5106</v>
      </c>
      <c r="C79" s="455">
        <f>IF($B$3="yes",I79+U79+AA79+O79,I79+U79+O79)</f>
        <v>5581</v>
      </c>
      <c r="D79" s="455">
        <f>IF($B$3="yes",J79+V79+AB79+P79,J79+V79+P79)</f>
        <v>5645</v>
      </c>
      <c r="E79" s="455">
        <f>IF($B$3="yes",K79+W79+AC79+Q79,K79+W79+Q79)</f>
        <v>6778</v>
      </c>
      <c r="G79" s="441" t="s">
        <v>6</v>
      </c>
      <c r="H79" s="435">
        <v>9716</v>
      </c>
      <c r="I79" s="435">
        <v>9917</v>
      </c>
      <c r="J79" s="435">
        <v>10169</v>
      </c>
      <c r="K79" s="1186">
        <v>6313</v>
      </c>
      <c r="M79" s="441" t="s">
        <v>6</v>
      </c>
      <c r="N79" s="445">
        <f t="shared" si="29"/>
        <v>-4757</v>
      </c>
      <c r="O79" s="445">
        <f t="shared" si="30"/>
        <v>-4654</v>
      </c>
      <c r="P79" s="445">
        <f t="shared" si="31"/>
        <v>-4888</v>
      </c>
      <c r="Q79" s="445">
        <f t="shared" si="32"/>
        <v>-224</v>
      </c>
      <c r="S79" s="461" t="s">
        <v>6</v>
      </c>
      <c r="T79" s="641"/>
      <c r="U79" s="641"/>
      <c r="V79" s="641"/>
      <c r="W79" s="1186"/>
      <c r="Y79" s="441" t="s">
        <v>6</v>
      </c>
      <c r="Z79" s="1681">
        <v>147</v>
      </c>
      <c r="AA79" s="1681">
        <v>318</v>
      </c>
      <c r="AB79" s="1681">
        <v>364</v>
      </c>
      <c r="AC79" s="1681">
        <v>689</v>
      </c>
      <c r="AF79" s="441" t="s">
        <v>6</v>
      </c>
      <c r="AG79" s="445"/>
      <c r="AH79" s="445"/>
      <c r="AI79" s="445"/>
      <c r="AJ79" s="455">
        <f>11395-6313</f>
        <v>5082</v>
      </c>
      <c r="AL79" s="441" t="s">
        <v>6</v>
      </c>
      <c r="AM79" s="445">
        <v>-4757</v>
      </c>
      <c r="AN79" s="445">
        <v>-4654</v>
      </c>
      <c r="AO79" s="445">
        <v>-4888</v>
      </c>
      <c r="AP79" s="455">
        <v>-224</v>
      </c>
    </row>
    <row r="80" spans="1:42">
      <c r="A80" s="441" t="s">
        <v>8</v>
      </c>
      <c r="B80" s="455">
        <f>IF($B$3="yes",H80+T80+Z80,H80+T80)</f>
        <v>2988</v>
      </c>
      <c r="C80" s="455">
        <f>IF($B$3="yes",I80+U80+AA80,I80+U80)</f>
        <v>4292</v>
      </c>
      <c r="D80" s="455">
        <f>IF($B$3="yes",J80+V80+AB80,J80+V80)</f>
        <v>3993</v>
      </c>
      <c r="E80" s="455">
        <f t="shared" ref="E80:E89" si="33">IF($B$3="yes",K80+W80+Q80+AC80,K80+W80+Q80)</f>
        <v>3745</v>
      </c>
      <c r="G80" s="441" t="s">
        <v>8</v>
      </c>
      <c r="H80" s="435">
        <v>2988</v>
      </c>
      <c r="I80" s="435">
        <v>4292</v>
      </c>
      <c r="J80" s="435">
        <v>3993</v>
      </c>
      <c r="K80" s="1186">
        <v>3735</v>
      </c>
      <c r="M80" s="441" t="s">
        <v>8</v>
      </c>
      <c r="N80" s="445">
        <f t="shared" si="29"/>
        <v>0</v>
      </c>
      <c r="O80" s="445">
        <f t="shared" si="30"/>
        <v>0</v>
      </c>
      <c r="P80" s="445">
        <f t="shared" si="31"/>
        <v>0</v>
      </c>
      <c r="Q80" s="445">
        <f t="shared" si="32"/>
        <v>0</v>
      </c>
      <c r="S80" s="461" t="s">
        <v>8</v>
      </c>
      <c r="T80" s="641"/>
      <c r="U80" s="641"/>
      <c r="V80" s="641"/>
      <c r="W80" s="1186"/>
      <c r="Y80" s="441" t="s">
        <v>8</v>
      </c>
      <c r="Z80" s="1681">
        <v>0</v>
      </c>
      <c r="AA80" s="1681">
        <v>0</v>
      </c>
      <c r="AB80" s="1681">
        <v>0</v>
      </c>
      <c r="AC80" s="1681">
        <v>10</v>
      </c>
      <c r="AF80" s="441" t="s">
        <v>8</v>
      </c>
      <c r="AG80" s="445"/>
      <c r="AH80" s="445"/>
      <c r="AI80" s="445"/>
      <c r="AL80" s="441" t="s">
        <v>8</v>
      </c>
      <c r="AM80" s="445"/>
      <c r="AN80" s="445"/>
      <c r="AO80" s="445"/>
    </row>
    <row r="81" spans="1:42">
      <c r="A81" s="442" t="s">
        <v>2</v>
      </c>
      <c r="B81" s="455">
        <f>IF($B$3="yes",H81+T81+Z81+N81,H81+T81+N81)</f>
        <v>1098</v>
      </c>
      <c r="C81" s="455">
        <f>IF($B$3="yes",I81+U81+AA81+O81,I81+U81+O81)</f>
        <v>1099</v>
      </c>
      <c r="D81" s="455">
        <f>IF($B$3="yes",J81+V81+AB81+P81,J81+V81+P81)</f>
        <v>1233</v>
      </c>
      <c r="E81" s="455">
        <f>IF($B$3="yes",K81+W81+AC81+Q81,K81+W81+Q81)</f>
        <v>1005</v>
      </c>
      <c r="G81" s="442" t="s">
        <v>2</v>
      </c>
      <c r="H81" s="443">
        <v>1121</v>
      </c>
      <c r="I81" s="443">
        <v>1168</v>
      </c>
      <c r="J81" s="443">
        <v>1332</v>
      </c>
      <c r="K81" s="1187">
        <v>1099</v>
      </c>
      <c r="M81" s="442" t="s">
        <v>2</v>
      </c>
      <c r="N81" s="445">
        <f t="shared" si="29"/>
        <v>-108</v>
      </c>
      <c r="O81" s="445">
        <f t="shared" si="30"/>
        <v>-123</v>
      </c>
      <c r="P81" s="445">
        <f t="shared" si="31"/>
        <v>-130</v>
      </c>
      <c r="Q81" s="445">
        <f t="shared" si="32"/>
        <v>-120</v>
      </c>
      <c r="S81" s="463" t="s">
        <v>2</v>
      </c>
      <c r="T81" s="642">
        <v>54</v>
      </c>
      <c r="U81" s="642">
        <v>36</v>
      </c>
      <c r="V81" s="642">
        <v>0</v>
      </c>
      <c r="W81" s="1187">
        <v>0</v>
      </c>
      <c r="Y81" s="442" t="s">
        <v>2</v>
      </c>
      <c r="Z81" s="1682">
        <v>31</v>
      </c>
      <c r="AA81" s="1682">
        <v>18</v>
      </c>
      <c r="AB81" s="1682">
        <v>31</v>
      </c>
      <c r="AC81" s="1682">
        <v>26</v>
      </c>
      <c r="AF81" s="442" t="s">
        <v>2</v>
      </c>
      <c r="AG81" s="1775"/>
      <c r="AH81" s="1775"/>
      <c r="AI81" s="1775"/>
      <c r="AL81" s="442" t="s">
        <v>2</v>
      </c>
      <c r="AM81" s="1775">
        <v>-108</v>
      </c>
      <c r="AN81" s="1775">
        <v>-123</v>
      </c>
      <c r="AO81" s="1775">
        <v>-130</v>
      </c>
      <c r="AP81" s="1775">
        <v>-120</v>
      </c>
    </row>
    <row r="82" spans="1:42">
      <c r="A82" s="441" t="s">
        <v>10</v>
      </c>
      <c r="B82" s="455">
        <f t="shared" ref="B82:D86" si="34">IF($B$3="yes",H82+T82+Z82,H82+T82)</f>
        <v>53</v>
      </c>
      <c r="C82" s="455">
        <f t="shared" si="34"/>
        <v>37</v>
      </c>
      <c r="D82" s="455">
        <f t="shared" si="34"/>
        <v>35</v>
      </c>
      <c r="E82" s="455">
        <f t="shared" si="33"/>
        <v>20</v>
      </c>
      <c r="G82" s="441" t="s">
        <v>10</v>
      </c>
      <c r="H82" s="435">
        <v>53</v>
      </c>
      <c r="I82" s="435">
        <v>37</v>
      </c>
      <c r="J82" s="435">
        <v>35</v>
      </c>
      <c r="K82" s="1186">
        <v>20</v>
      </c>
      <c r="M82" s="441" t="s">
        <v>10</v>
      </c>
      <c r="N82" s="445">
        <f t="shared" si="29"/>
        <v>0</v>
      </c>
      <c r="O82" s="445">
        <f t="shared" si="30"/>
        <v>0</v>
      </c>
      <c r="P82" s="445">
        <f t="shared" si="31"/>
        <v>0</v>
      </c>
      <c r="Q82" s="445">
        <f t="shared" si="32"/>
        <v>0</v>
      </c>
      <c r="S82" s="461" t="s">
        <v>10</v>
      </c>
      <c r="T82" s="643"/>
      <c r="U82" s="643"/>
      <c r="V82" s="643"/>
      <c r="W82" s="1188"/>
      <c r="Y82" s="441" t="s">
        <v>10</v>
      </c>
      <c r="Z82" s="1681">
        <v>0</v>
      </c>
      <c r="AA82" s="1681">
        <v>0</v>
      </c>
      <c r="AB82" s="1681">
        <v>0</v>
      </c>
      <c r="AC82" s="1681">
        <v>0</v>
      </c>
      <c r="AF82" s="441" t="s">
        <v>10</v>
      </c>
      <c r="AG82" s="445"/>
      <c r="AH82" s="445"/>
      <c r="AI82" s="445"/>
      <c r="AL82" s="441" t="s">
        <v>10</v>
      </c>
      <c r="AM82" s="445"/>
      <c r="AN82" s="445"/>
      <c r="AO82" s="445"/>
    </row>
    <row r="83" spans="1:42">
      <c r="A83" s="441" t="s">
        <v>4</v>
      </c>
      <c r="B83" s="455">
        <f t="shared" si="34"/>
        <v>23113</v>
      </c>
      <c r="C83" s="455">
        <f t="shared" si="34"/>
        <v>22993</v>
      </c>
      <c r="D83" s="455">
        <f t="shared" si="34"/>
        <v>22467</v>
      </c>
      <c r="E83" s="455">
        <f t="shared" si="33"/>
        <v>20770</v>
      </c>
      <c r="G83" s="441" t="s">
        <v>4</v>
      </c>
      <c r="H83" s="435">
        <v>24395</v>
      </c>
      <c r="I83" s="435">
        <v>24317</v>
      </c>
      <c r="J83" s="435">
        <v>23069</v>
      </c>
      <c r="K83" s="1186">
        <v>21602</v>
      </c>
      <c r="M83" s="441" t="s">
        <v>4</v>
      </c>
      <c r="N83" s="445">
        <f t="shared" si="29"/>
        <v>0</v>
      </c>
      <c r="O83" s="445">
        <f t="shared" si="30"/>
        <v>0</v>
      </c>
      <c r="P83" s="445">
        <f t="shared" si="31"/>
        <v>0</v>
      </c>
      <c r="Q83" s="445">
        <f t="shared" si="32"/>
        <v>0</v>
      </c>
      <c r="S83" s="461" t="s">
        <v>4</v>
      </c>
      <c r="T83" s="641">
        <f>-(T78+T81)-3</f>
        <v>-2136</v>
      </c>
      <c r="U83" s="641">
        <f>-(U78+U81)-106</f>
        <v>-2254</v>
      </c>
      <c r="V83" s="641">
        <v>-1563</v>
      </c>
      <c r="W83" s="1186">
        <f>-W78</f>
        <v>-1918</v>
      </c>
      <c r="Y83" s="441" t="s">
        <v>4</v>
      </c>
      <c r="Z83" s="1681">
        <v>854</v>
      </c>
      <c r="AA83" s="1681">
        <v>930</v>
      </c>
      <c r="AB83" s="1681">
        <v>961</v>
      </c>
      <c r="AC83" s="1681">
        <v>1086</v>
      </c>
      <c r="AF83" s="441" t="s">
        <v>4</v>
      </c>
      <c r="AG83" s="445"/>
      <c r="AH83" s="445"/>
      <c r="AI83" s="445"/>
      <c r="AL83" s="441" t="s">
        <v>4</v>
      </c>
      <c r="AM83" s="445"/>
      <c r="AN83" s="445"/>
      <c r="AO83" s="445"/>
    </row>
    <row r="84" spans="1:42">
      <c r="A84" s="441" t="s">
        <v>14</v>
      </c>
      <c r="B84" s="455">
        <f t="shared" si="34"/>
        <v>30</v>
      </c>
      <c r="C84" s="455">
        <f t="shared" si="34"/>
        <v>126</v>
      </c>
      <c r="D84" s="455">
        <f t="shared" si="34"/>
        <v>8</v>
      </c>
      <c r="E84" s="455">
        <f t="shared" si="33"/>
        <v>16</v>
      </c>
      <c r="G84" s="441" t="s">
        <v>14</v>
      </c>
      <c r="H84" s="435">
        <v>30</v>
      </c>
      <c r="I84" s="435">
        <v>20</v>
      </c>
      <c r="J84" s="435">
        <v>8</v>
      </c>
      <c r="K84" s="1186">
        <v>16</v>
      </c>
      <c r="M84" s="441" t="s">
        <v>14</v>
      </c>
      <c r="N84" s="445">
        <f t="shared" si="29"/>
        <v>0</v>
      </c>
      <c r="O84" s="445">
        <f t="shared" si="30"/>
        <v>0</v>
      </c>
      <c r="P84" s="445">
        <f t="shared" si="31"/>
        <v>0</v>
      </c>
      <c r="Q84" s="445">
        <f t="shared" si="32"/>
        <v>0</v>
      </c>
      <c r="S84" s="461" t="s">
        <v>14</v>
      </c>
      <c r="T84" s="434"/>
      <c r="U84" s="434">
        <v>106</v>
      </c>
      <c r="V84" s="434"/>
      <c r="W84" s="434"/>
      <c r="Y84" s="441" t="s">
        <v>14</v>
      </c>
      <c r="Z84" s="1681">
        <v>0</v>
      </c>
      <c r="AA84" s="1681">
        <v>0</v>
      </c>
      <c r="AB84" s="1681">
        <v>0</v>
      </c>
      <c r="AC84" s="1681">
        <v>0</v>
      </c>
      <c r="AF84" s="441" t="s">
        <v>14</v>
      </c>
      <c r="AG84" s="445"/>
      <c r="AH84" s="445"/>
      <c r="AI84" s="445"/>
      <c r="AL84" s="441" t="s">
        <v>14</v>
      </c>
      <c r="AM84" s="445"/>
      <c r="AN84" s="445"/>
      <c r="AO84" s="445"/>
    </row>
    <row r="85" spans="1:42">
      <c r="A85" s="442" t="s">
        <v>17</v>
      </c>
      <c r="B85" s="455">
        <f t="shared" si="34"/>
        <v>23705</v>
      </c>
      <c r="C85" s="455">
        <f t="shared" si="34"/>
        <v>23209</v>
      </c>
      <c r="D85" s="455">
        <f t="shared" si="34"/>
        <v>21051</v>
      </c>
      <c r="E85" s="455">
        <f t="shared" si="33"/>
        <v>20771</v>
      </c>
      <c r="G85" s="442" t="s">
        <v>17</v>
      </c>
      <c r="H85" s="443">
        <v>22977</v>
      </c>
      <c r="I85" s="443">
        <v>22397</v>
      </c>
      <c r="J85" s="443">
        <v>20397</v>
      </c>
      <c r="K85" s="1187">
        <v>19925</v>
      </c>
      <c r="M85" s="442" t="s">
        <v>17</v>
      </c>
      <c r="N85" s="445">
        <f t="shared" si="29"/>
        <v>0</v>
      </c>
      <c r="O85" s="445">
        <f t="shared" si="30"/>
        <v>0</v>
      </c>
      <c r="P85" s="445">
        <f t="shared" si="31"/>
        <v>0</v>
      </c>
      <c r="Q85" s="445">
        <f t="shared" si="32"/>
        <v>0</v>
      </c>
      <c r="S85" s="463" t="s">
        <v>17</v>
      </c>
      <c r="T85" s="443"/>
      <c r="U85" s="443"/>
      <c r="V85" s="443"/>
      <c r="W85" s="443"/>
      <c r="Y85" s="442" t="s">
        <v>17</v>
      </c>
      <c r="Z85" s="1682">
        <v>728</v>
      </c>
      <c r="AA85" s="1682">
        <v>812</v>
      </c>
      <c r="AB85" s="1682">
        <v>654</v>
      </c>
      <c r="AC85" s="1682">
        <v>846</v>
      </c>
      <c r="AF85" s="442" t="s">
        <v>17</v>
      </c>
      <c r="AG85" s="1775"/>
      <c r="AH85" s="1775"/>
      <c r="AI85" s="1775"/>
      <c r="AL85" s="442" t="s">
        <v>17</v>
      </c>
      <c r="AM85" s="1775"/>
      <c r="AN85" s="1775"/>
      <c r="AO85" s="1775"/>
    </row>
    <row r="86" spans="1:42">
      <c r="A86" s="441" t="s">
        <v>316</v>
      </c>
      <c r="B86" s="455">
        <f t="shared" si="34"/>
        <v>0</v>
      </c>
      <c r="C86" s="455">
        <f t="shared" si="34"/>
        <v>0</v>
      </c>
      <c r="D86" s="455">
        <f t="shared" si="34"/>
        <v>0</v>
      </c>
      <c r="E86" s="455">
        <f t="shared" si="33"/>
        <v>5</v>
      </c>
      <c r="G86" s="441" t="s">
        <v>316</v>
      </c>
      <c r="H86" s="435">
        <v>0</v>
      </c>
      <c r="I86" s="435">
        <v>0</v>
      </c>
      <c r="J86" s="435">
        <v>0</v>
      </c>
      <c r="K86" s="1186">
        <v>5</v>
      </c>
      <c r="M86" s="441" t="s">
        <v>316</v>
      </c>
      <c r="N86" s="445">
        <f t="shared" si="29"/>
        <v>0</v>
      </c>
      <c r="O86" s="445">
        <f t="shared" si="30"/>
        <v>0</v>
      </c>
      <c r="P86" s="445">
        <f t="shared" si="31"/>
        <v>0</v>
      </c>
      <c r="Q86" s="445">
        <f t="shared" si="32"/>
        <v>0</v>
      </c>
      <c r="S86" s="461" t="s">
        <v>316</v>
      </c>
      <c r="T86" s="434"/>
      <c r="U86" s="434"/>
      <c r="V86" s="434"/>
      <c r="W86" s="434"/>
      <c r="Y86" s="441" t="s">
        <v>316</v>
      </c>
      <c r="Z86" s="1681">
        <v>0</v>
      </c>
      <c r="AA86" s="1681">
        <v>0</v>
      </c>
      <c r="AB86" s="1681">
        <v>0</v>
      </c>
      <c r="AC86" s="1681">
        <v>0</v>
      </c>
      <c r="AF86" s="441" t="s">
        <v>316</v>
      </c>
      <c r="AG86" s="445"/>
      <c r="AH86" s="445"/>
      <c r="AI86" s="445"/>
      <c r="AL86" s="441" t="s">
        <v>316</v>
      </c>
      <c r="AM86" s="445"/>
      <c r="AN86" s="445"/>
      <c r="AO86" s="445"/>
    </row>
    <row r="87" spans="1:42">
      <c r="A87" s="441" t="s">
        <v>7</v>
      </c>
      <c r="B87" s="455">
        <f>IF($B$3="yes",H87+T87+Z87+N87,H87+T87+N87)</f>
        <v>2838</v>
      </c>
      <c r="C87" s="455">
        <f>IF($B$3="yes",I87+U87+AA87+O87,I87+U87+O87)</f>
        <v>2867</v>
      </c>
      <c r="D87" s="455">
        <f>IF($B$3="yes",J87+V87+AB87+P87,J87+V87+P87)</f>
        <v>3965</v>
      </c>
      <c r="E87" s="455">
        <f>IF($B$3="yes",K87+W87+AC87+Q87,K87+W87+Q87)</f>
        <v>2774</v>
      </c>
      <c r="G87" s="441" t="s">
        <v>7</v>
      </c>
      <c r="H87" s="435">
        <v>4438</v>
      </c>
      <c r="I87" s="435">
        <v>3837</v>
      </c>
      <c r="J87" s="435">
        <v>4684</v>
      </c>
      <c r="K87" s="1186">
        <v>3426</v>
      </c>
      <c r="M87" s="441" t="s">
        <v>7</v>
      </c>
      <c r="N87" s="445">
        <f t="shared" si="29"/>
        <v>-2529</v>
      </c>
      <c r="O87" s="445">
        <f t="shared" si="30"/>
        <v>-2007</v>
      </c>
      <c r="P87" s="445">
        <f t="shared" si="31"/>
        <v>-1782</v>
      </c>
      <c r="Q87" s="445">
        <f t="shared" si="32"/>
        <v>-1722</v>
      </c>
      <c r="S87" s="461" t="s">
        <v>7</v>
      </c>
      <c r="T87" s="435"/>
      <c r="U87" s="435"/>
      <c r="V87" s="435"/>
      <c r="W87" s="435"/>
      <c r="Y87" s="441" t="s">
        <v>7</v>
      </c>
      <c r="Z87" s="1681">
        <v>929</v>
      </c>
      <c r="AA87" s="1681">
        <v>1037</v>
      </c>
      <c r="AB87" s="1681">
        <v>1063</v>
      </c>
      <c r="AC87" s="1681">
        <v>1070</v>
      </c>
      <c r="AF87" s="441" t="s">
        <v>7</v>
      </c>
      <c r="AG87" s="445"/>
      <c r="AH87" s="445"/>
      <c r="AI87" s="445"/>
      <c r="AL87" s="441" t="s">
        <v>7</v>
      </c>
      <c r="AM87" s="445">
        <v>-2529</v>
      </c>
      <c r="AN87" s="445">
        <v>-2007</v>
      </c>
      <c r="AO87" s="445">
        <v>-1782</v>
      </c>
      <c r="AP87" s="445">
        <v>-1722</v>
      </c>
    </row>
    <row r="88" spans="1:42">
      <c r="A88" s="441" t="s">
        <v>514</v>
      </c>
      <c r="B88" s="455">
        <f t="shared" ref="B88:D89" si="35">IF($B$3="yes",H88+T88+Z88,H88+T88)</f>
        <v>4132</v>
      </c>
      <c r="C88" s="455">
        <f t="shared" si="35"/>
        <v>3965</v>
      </c>
      <c r="D88" s="455">
        <f t="shared" si="35"/>
        <v>2946</v>
      </c>
      <c r="E88" s="455">
        <f t="shared" si="33"/>
        <v>3234</v>
      </c>
      <c r="G88" s="441" t="s">
        <v>514</v>
      </c>
      <c r="H88" s="435">
        <v>3976</v>
      </c>
      <c r="I88" s="435">
        <v>3890</v>
      </c>
      <c r="J88" s="435">
        <v>2859</v>
      </c>
      <c r="K88" s="1186">
        <v>3099</v>
      </c>
      <c r="M88" s="441" t="s">
        <v>514</v>
      </c>
      <c r="N88" s="445">
        <f t="shared" si="29"/>
        <v>0</v>
      </c>
      <c r="O88" s="445">
        <f t="shared" si="30"/>
        <v>0</v>
      </c>
      <c r="P88" s="445">
        <f t="shared" si="31"/>
        <v>0</v>
      </c>
      <c r="Q88" s="445">
        <f t="shared" si="32"/>
        <v>0</v>
      </c>
      <c r="S88" s="461" t="s">
        <v>9</v>
      </c>
      <c r="T88" s="435"/>
      <c r="U88" s="435"/>
      <c r="V88" s="435"/>
      <c r="W88" s="435"/>
      <c r="Y88" s="441" t="s">
        <v>514</v>
      </c>
      <c r="Z88" s="1681">
        <v>156</v>
      </c>
      <c r="AA88" s="1681">
        <v>75</v>
      </c>
      <c r="AB88" s="1681">
        <v>87</v>
      </c>
      <c r="AC88" s="1681">
        <v>135</v>
      </c>
      <c r="AF88" s="441" t="s">
        <v>514</v>
      </c>
      <c r="AG88" s="445"/>
      <c r="AH88" s="445"/>
      <c r="AI88" s="445"/>
      <c r="AL88" s="441" t="s">
        <v>514</v>
      </c>
      <c r="AM88" s="445"/>
      <c r="AN88" s="445"/>
      <c r="AO88" s="445"/>
    </row>
    <row r="89" spans="1:42">
      <c r="A89" s="442" t="s">
        <v>515</v>
      </c>
      <c r="B89" s="455">
        <f t="shared" si="35"/>
        <v>5938</v>
      </c>
      <c r="C89" s="455">
        <f t="shared" si="35"/>
        <v>4657</v>
      </c>
      <c r="D89" s="455">
        <f t="shared" si="35"/>
        <v>4582</v>
      </c>
      <c r="E89" s="455">
        <f t="shared" si="33"/>
        <v>3605</v>
      </c>
      <c r="G89" s="442" t="s">
        <v>515</v>
      </c>
      <c r="H89" s="443">
        <v>5856</v>
      </c>
      <c r="I89" s="443">
        <v>4574</v>
      </c>
      <c r="J89" s="443">
        <v>4418</v>
      </c>
      <c r="K89" s="1187">
        <v>3498</v>
      </c>
      <c r="M89" s="442" t="s">
        <v>515</v>
      </c>
      <c r="N89" s="445">
        <f t="shared" si="29"/>
        <v>0</v>
      </c>
      <c r="O89" s="445">
        <f t="shared" si="30"/>
        <v>0</v>
      </c>
      <c r="P89" s="445">
        <f t="shared" si="31"/>
        <v>0</v>
      </c>
      <c r="Q89" s="445">
        <f t="shared" si="32"/>
        <v>0</v>
      </c>
      <c r="S89" s="463" t="s">
        <v>5</v>
      </c>
      <c r="T89" s="443"/>
      <c r="U89" s="443"/>
      <c r="V89" s="443"/>
      <c r="W89" s="443"/>
      <c r="Y89" s="442" t="s">
        <v>515</v>
      </c>
      <c r="Z89" s="1682">
        <v>82</v>
      </c>
      <c r="AA89" s="1682">
        <v>83</v>
      </c>
      <c r="AB89" s="1682">
        <v>164</v>
      </c>
      <c r="AC89" s="1682">
        <v>107</v>
      </c>
      <c r="AF89" s="442" t="s">
        <v>515</v>
      </c>
      <c r="AG89" s="1775"/>
      <c r="AH89" s="1775"/>
      <c r="AI89" s="1775"/>
      <c r="AL89" s="442" t="s">
        <v>515</v>
      </c>
      <c r="AM89" s="1775"/>
      <c r="AN89" s="1775"/>
      <c r="AO89" s="1775"/>
    </row>
    <row r="90" spans="1:42">
      <c r="A90" s="441"/>
      <c r="G90" s="441"/>
      <c r="H90" s="434"/>
      <c r="I90" s="434"/>
      <c r="J90" s="434"/>
      <c r="K90" s="1188"/>
      <c r="M90" s="441"/>
      <c r="N90" s="445"/>
      <c r="O90" s="445"/>
      <c r="P90" s="445"/>
      <c r="Y90" s="441"/>
      <c r="Z90" s="1681">
        <v>0</v>
      </c>
      <c r="AA90" s="1681">
        <v>0</v>
      </c>
      <c r="AB90" s="1681">
        <v>0</v>
      </c>
      <c r="AC90" s="1681">
        <v>0</v>
      </c>
      <c r="AF90" s="441"/>
      <c r="AG90" s="445"/>
      <c r="AH90" s="445"/>
      <c r="AI90" s="445"/>
      <c r="AL90" s="441"/>
      <c r="AM90" s="445"/>
      <c r="AN90" s="445"/>
      <c r="AO90" s="445"/>
    </row>
    <row r="91" spans="1:42">
      <c r="A91" s="441" t="s">
        <v>516</v>
      </c>
      <c r="B91" s="455">
        <f t="shared" ref="B91:D92" si="36">IF($B$3="yes",H91+T91+Z91,H91+T91)</f>
        <v>852</v>
      </c>
      <c r="C91" s="455">
        <f t="shared" si="36"/>
        <v>868</v>
      </c>
      <c r="D91" s="455">
        <f t="shared" si="36"/>
        <v>1158</v>
      </c>
      <c r="E91" s="455">
        <f>IF($B$3="yes",K91+W91+Q91+AC91,K91+W91+Q91)</f>
        <v>1022</v>
      </c>
      <c r="G91" s="441" t="s">
        <v>516</v>
      </c>
      <c r="H91" s="435">
        <v>852</v>
      </c>
      <c r="I91" s="435">
        <v>868</v>
      </c>
      <c r="J91" s="435">
        <v>1158</v>
      </c>
      <c r="K91" s="1683">
        <v>1022</v>
      </c>
      <c r="M91" s="441" t="s">
        <v>516</v>
      </c>
      <c r="N91" s="445"/>
      <c r="O91" s="445"/>
      <c r="P91" s="445"/>
      <c r="Y91" s="441" t="s">
        <v>516</v>
      </c>
      <c r="Z91" s="1681">
        <v>0</v>
      </c>
      <c r="AA91" s="1681">
        <v>0</v>
      </c>
      <c r="AB91" s="1681">
        <v>0</v>
      </c>
      <c r="AC91" s="1681">
        <v>0</v>
      </c>
      <c r="AF91" s="441" t="s">
        <v>516</v>
      </c>
      <c r="AG91" s="445"/>
      <c r="AH91" s="445"/>
      <c r="AI91" s="445"/>
      <c r="AL91" s="441" t="s">
        <v>516</v>
      </c>
      <c r="AM91" s="445"/>
      <c r="AN91" s="445"/>
      <c r="AO91" s="445"/>
    </row>
    <row r="92" spans="1:42">
      <c r="A92" s="441" t="s">
        <v>517</v>
      </c>
      <c r="B92" s="455">
        <f t="shared" si="36"/>
        <v>209</v>
      </c>
      <c r="C92" s="455">
        <f t="shared" si="36"/>
        <v>117</v>
      </c>
      <c r="D92" s="455">
        <f t="shared" si="36"/>
        <v>87</v>
      </c>
      <c r="E92" s="455">
        <f>IF($B$3="yes",K92+W92+Q92+AC92,K92+W92+Q92)</f>
        <v>49</v>
      </c>
      <c r="G92" s="441" t="s">
        <v>517</v>
      </c>
      <c r="H92" s="435">
        <v>209</v>
      </c>
      <c r="I92" s="435">
        <v>117</v>
      </c>
      <c r="J92" s="435">
        <v>87</v>
      </c>
      <c r="K92" s="1683">
        <v>49</v>
      </c>
      <c r="M92" s="441" t="s">
        <v>517</v>
      </c>
      <c r="N92" s="445"/>
      <c r="O92" s="445"/>
      <c r="P92" s="445"/>
      <c r="Y92" s="441" t="s">
        <v>517</v>
      </c>
      <c r="Z92" s="1681">
        <v>0</v>
      </c>
      <c r="AA92" s="1681">
        <v>0</v>
      </c>
      <c r="AB92" s="1681">
        <v>0</v>
      </c>
      <c r="AC92" s="1681">
        <v>0</v>
      </c>
      <c r="AF92" s="441" t="s">
        <v>517</v>
      </c>
      <c r="AG92" s="445"/>
      <c r="AH92" s="445"/>
      <c r="AI92" s="445"/>
      <c r="AL92" s="441" t="s">
        <v>517</v>
      </c>
      <c r="AM92" s="445"/>
      <c r="AN92" s="445"/>
      <c r="AO92" s="445"/>
    </row>
    <row r="93" spans="1:42">
      <c r="A93" s="442" t="s">
        <v>518</v>
      </c>
      <c r="B93" s="455">
        <f>IF($B$3="yes",H93+T93+H100-Z96+Z93,H93+T93)</f>
        <v>680</v>
      </c>
      <c r="C93" s="455">
        <f>IF($B$3="yes",I93+U93+I100-AA96+AA93,I93+U93)</f>
        <v>761</v>
      </c>
      <c r="D93" s="455">
        <f>IF($B$3="yes",J93+V93+J100-AB96+AB93,J93+V93)</f>
        <v>766</v>
      </c>
      <c r="E93" s="455">
        <f>IF($B$3="yes",K93+W93+K100-AC96+AC93,K93+W93)</f>
        <v>729</v>
      </c>
      <c r="G93" s="442" t="s">
        <v>518</v>
      </c>
      <c r="H93" s="443">
        <v>1951</v>
      </c>
      <c r="I93" s="443">
        <v>2068</v>
      </c>
      <c r="J93" s="443">
        <v>1972</v>
      </c>
      <c r="K93" s="1684">
        <v>2299</v>
      </c>
      <c r="M93" s="442" t="s">
        <v>518</v>
      </c>
      <c r="N93" s="1775"/>
      <c r="O93" s="1775"/>
      <c r="P93" s="1775"/>
      <c r="T93">
        <v>3</v>
      </c>
      <c r="Y93" s="442" t="s">
        <v>518</v>
      </c>
      <c r="Z93" s="1682">
        <v>677</v>
      </c>
      <c r="AA93" s="1682">
        <v>761</v>
      </c>
      <c r="AB93" s="1682">
        <v>766</v>
      </c>
      <c r="AC93" s="1682">
        <v>731</v>
      </c>
      <c r="AF93" s="442" t="s">
        <v>518</v>
      </c>
      <c r="AG93" s="1775"/>
      <c r="AH93" s="1775"/>
      <c r="AI93" s="1775"/>
      <c r="AL93" s="442" t="s">
        <v>518</v>
      </c>
      <c r="AM93" s="1775"/>
      <c r="AN93" s="1775"/>
      <c r="AO93" s="1775"/>
    </row>
    <row r="94" spans="1:42">
      <c r="A94" s="441" t="s">
        <v>519</v>
      </c>
      <c r="B94" s="455">
        <f t="shared" ref="B94:D95" si="37">IF($B$3="yes",H94+T94+Z94,H94+T94)</f>
        <v>94</v>
      </c>
      <c r="C94" s="455">
        <f t="shared" si="37"/>
        <v>153</v>
      </c>
      <c r="D94" s="455">
        <f t="shared" si="37"/>
        <v>199</v>
      </c>
      <c r="E94" s="455">
        <f>IF($B$3="yes",K94+W94+Q94+AC94,K94+W94+Q94)</f>
        <v>220</v>
      </c>
      <c r="G94" s="441" t="s">
        <v>519</v>
      </c>
      <c r="H94" s="434">
        <v>80</v>
      </c>
      <c r="I94" s="434">
        <v>135</v>
      </c>
      <c r="J94" s="434">
        <v>179</v>
      </c>
      <c r="K94" s="1683">
        <v>188</v>
      </c>
      <c r="M94" s="441" t="s">
        <v>519</v>
      </c>
      <c r="N94" s="445"/>
      <c r="O94" s="445"/>
      <c r="P94" s="445"/>
      <c r="Y94" s="441" t="s">
        <v>519</v>
      </c>
      <c r="Z94" s="1681">
        <v>14</v>
      </c>
      <c r="AA94" s="1681">
        <v>18</v>
      </c>
      <c r="AB94" s="1681">
        <v>20</v>
      </c>
      <c r="AC94" s="1681">
        <v>32</v>
      </c>
      <c r="AF94" s="441" t="s">
        <v>519</v>
      </c>
      <c r="AG94" s="445"/>
      <c r="AH94" s="445"/>
      <c r="AI94" s="445"/>
      <c r="AL94" s="441" t="s">
        <v>519</v>
      </c>
      <c r="AM94" s="445"/>
      <c r="AN94" s="445"/>
      <c r="AO94" s="445"/>
    </row>
    <row r="95" spans="1:42">
      <c r="A95" s="445" t="s">
        <v>520</v>
      </c>
      <c r="B95" s="455">
        <f t="shared" si="37"/>
        <v>480</v>
      </c>
      <c r="C95" s="455">
        <f t="shared" si="37"/>
        <v>507</v>
      </c>
      <c r="D95" s="455">
        <f t="shared" si="37"/>
        <v>495</v>
      </c>
      <c r="E95" s="455">
        <f>IF($B$3="yes",K95+W95+Q95+AC95,K95+W95+Q95)</f>
        <v>881</v>
      </c>
      <c r="G95" s="445" t="s">
        <v>520</v>
      </c>
      <c r="H95" s="435">
        <v>480</v>
      </c>
      <c r="I95" s="435">
        <v>507</v>
      </c>
      <c r="J95" s="435">
        <v>495</v>
      </c>
      <c r="K95" s="1683">
        <v>881</v>
      </c>
      <c r="M95" s="445" t="s">
        <v>520</v>
      </c>
      <c r="N95" s="445"/>
      <c r="O95" s="445"/>
      <c r="P95" s="445"/>
      <c r="Y95" s="445" t="s">
        <v>520</v>
      </c>
      <c r="Z95" s="1681">
        <v>0</v>
      </c>
      <c r="AA95" s="1681">
        <v>0</v>
      </c>
      <c r="AB95" s="1681">
        <v>0</v>
      </c>
      <c r="AC95" s="1681">
        <v>0</v>
      </c>
      <c r="AF95" s="445" t="s">
        <v>520</v>
      </c>
      <c r="AG95" s="445"/>
      <c r="AH95" s="445"/>
      <c r="AI95" s="445"/>
      <c r="AL95" s="445" t="s">
        <v>520</v>
      </c>
      <c r="AM95" s="445"/>
      <c r="AN95" s="445"/>
      <c r="AO95" s="445"/>
    </row>
    <row r="96" spans="1:42">
      <c r="A96" s="446"/>
      <c r="B96" s="1700">
        <f>SUM(B78:B95)</f>
        <v>79506</v>
      </c>
      <c r="C96" s="1700">
        <f>SUM(C78:C95)</f>
        <v>79428</v>
      </c>
      <c r="D96" s="1700">
        <f>SUM(D78:D95)</f>
        <v>76620</v>
      </c>
      <c r="E96" s="455">
        <f>SUM(K96,K100,Q96,W96)</f>
        <v>73609</v>
      </c>
      <c r="F96">
        <v>78211</v>
      </c>
      <c r="G96" s="446"/>
      <c r="H96" s="447">
        <f>SUM(H78:H95)</f>
        <v>85156</v>
      </c>
      <c r="I96" s="447">
        <f>SUM(I78:I95)</f>
        <v>84132</v>
      </c>
      <c r="J96" s="447">
        <f>SUM(J78:J95)</f>
        <v>81165</v>
      </c>
      <c r="K96" s="447">
        <f>SUM(K78:K95)</f>
        <v>73129</v>
      </c>
      <c r="M96" s="446"/>
      <c r="N96" s="1776"/>
      <c r="O96" s="1776"/>
      <c r="P96" s="1776"/>
      <c r="Q96" s="447">
        <f>SUM(Q78:Q95)</f>
        <v>-2066</v>
      </c>
      <c r="S96" s="447">
        <f>SUM(S78:S95)</f>
        <v>0</v>
      </c>
      <c r="T96" s="447">
        <f>SUM(T78:T95)</f>
        <v>0</v>
      </c>
      <c r="U96" s="447">
        <f>SUM(U78:U95)</f>
        <v>0</v>
      </c>
      <c r="V96" s="447">
        <f>SUM(V78:V95)</f>
        <v>0</v>
      </c>
      <c r="W96" s="447">
        <f>SUM(W78:W95)</f>
        <v>0</v>
      </c>
      <c r="Y96" s="1678"/>
      <c r="Z96" s="447">
        <f>SUM(Z78:Z95)</f>
        <v>3695</v>
      </c>
      <c r="AA96" s="447">
        <f>SUM(AA78:AA95)</f>
        <v>4148</v>
      </c>
      <c r="AB96" s="447">
        <f>SUM(AB78:AB95)</f>
        <v>4227</v>
      </c>
      <c r="AC96" s="447">
        <f>SUM(AC78:AC95)</f>
        <v>4847</v>
      </c>
      <c r="AF96" s="446"/>
      <c r="AG96" s="1776"/>
      <c r="AH96" s="1776"/>
      <c r="AI96" s="1776"/>
      <c r="AJ96" s="447">
        <f>SUM(AJ78:AJ95)</f>
        <v>5082</v>
      </c>
      <c r="AL96" s="446"/>
      <c r="AM96" s="1776"/>
      <c r="AN96" s="1776"/>
      <c r="AO96" s="1776"/>
      <c r="AP96" s="447">
        <f>SUM(AP78:AP95)</f>
        <v>-2066</v>
      </c>
    </row>
    <row r="97" spans="1:42">
      <c r="A97" s="450" t="s">
        <v>524</v>
      </c>
      <c r="E97" s="455" t="s">
        <v>1496</v>
      </c>
      <c r="F97">
        <f>F96+2546</f>
        <v>80757</v>
      </c>
      <c r="G97" s="450" t="s">
        <v>524</v>
      </c>
      <c r="H97" s="435"/>
      <c r="I97" s="435"/>
      <c r="J97" s="435"/>
      <c r="K97" s="1186"/>
      <c r="M97" s="450" t="s">
        <v>524</v>
      </c>
      <c r="N97" s="450"/>
      <c r="O97" s="450"/>
      <c r="P97" s="450"/>
      <c r="Y97" s="1685"/>
      <c r="Z97" s="1685"/>
      <c r="AA97" s="1685"/>
      <c r="AB97" s="1685"/>
      <c r="AC97" s="1685"/>
      <c r="AF97" s="450" t="s">
        <v>524</v>
      </c>
      <c r="AG97" s="450"/>
      <c r="AH97" s="450"/>
      <c r="AI97" s="450"/>
      <c r="AL97" s="450" t="s">
        <v>524</v>
      </c>
      <c r="AM97" s="450"/>
      <c r="AN97" s="450"/>
      <c r="AO97" s="450"/>
    </row>
    <row r="98" spans="1:42">
      <c r="A98" s="448" t="s">
        <v>525</v>
      </c>
      <c r="G98" s="448" t="s">
        <v>525</v>
      </c>
      <c r="H98" s="435"/>
      <c r="I98" s="435"/>
      <c r="J98" s="435"/>
      <c r="K98" s="641">
        <f>SUM(K96,Q96,W96,AC96-K100)</f>
        <v>73364</v>
      </c>
      <c r="M98" s="448" t="s">
        <v>525</v>
      </c>
      <c r="N98" s="448"/>
      <c r="O98" s="448"/>
      <c r="P98" s="448"/>
      <c r="Y98" s="1687"/>
      <c r="Z98" s="1687"/>
      <c r="AA98" s="1687"/>
      <c r="AB98" s="1687"/>
      <c r="AC98" s="1687"/>
      <c r="AF98" s="448" t="s">
        <v>525</v>
      </c>
      <c r="AG98" s="448"/>
      <c r="AH98" s="448"/>
      <c r="AI98" s="448"/>
      <c r="AL98" s="448" t="s">
        <v>525</v>
      </c>
      <c r="AM98" s="448"/>
      <c r="AN98" s="448"/>
      <c r="AO98" s="448"/>
    </row>
    <row r="99" spans="1:42">
      <c r="A99" s="434"/>
      <c r="G99" s="434"/>
      <c r="H99" s="434"/>
      <c r="I99" s="434"/>
      <c r="J99" s="434"/>
      <c r="K99" s="643"/>
      <c r="M99" s="434"/>
      <c r="N99" s="434"/>
      <c r="O99" s="434"/>
      <c r="P99" s="434"/>
      <c r="Y99" s="452"/>
      <c r="Z99" s="452"/>
      <c r="AA99" s="452"/>
      <c r="AB99" s="452"/>
      <c r="AC99" s="452"/>
      <c r="AF99" s="434"/>
      <c r="AG99" s="434"/>
      <c r="AH99" s="434"/>
      <c r="AI99" s="434"/>
      <c r="AL99" s="434"/>
      <c r="AM99" s="434"/>
      <c r="AN99" s="434"/>
      <c r="AO99" s="434"/>
    </row>
    <row r="100" spans="1:42">
      <c r="A100" s="439" t="s">
        <v>526</v>
      </c>
      <c r="B100" s="455">
        <f>IF($B$3="yes",0,H100)</f>
        <v>0</v>
      </c>
      <c r="C100" s="455">
        <f>IF($B$3="yes",0,I100)</f>
        <v>0</v>
      </c>
      <c r="D100" s="455">
        <f>IF($B$3="yes",0,J100)</f>
        <v>0</v>
      </c>
      <c r="E100" s="455">
        <f>IF($B$3="yes",0,K100)</f>
        <v>0</v>
      </c>
      <c r="F100">
        <v>2546</v>
      </c>
      <c r="G100" s="439" t="s">
        <v>526</v>
      </c>
      <c r="H100" s="451">
        <v>1744</v>
      </c>
      <c r="I100" s="451">
        <v>2080</v>
      </c>
      <c r="J100" s="451">
        <v>2255</v>
      </c>
      <c r="K100" s="1688">
        <v>2546</v>
      </c>
      <c r="M100" s="439"/>
      <c r="N100" s="1680"/>
      <c r="O100" s="1680"/>
      <c r="P100" s="1680"/>
      <c r="Y100" s="1675"/>
      <c r="Z100" s="1675"/>
      <c r="AA100" s="1675"/>
      <c r="AB100" s="1675"/>
      <c r="AC100" s="1675"/>
      <c r="AF100" s="439"/>
      <c r="AG100" s="1680"/>
      <c r="AH100" s="1680"/>
      <c r="AI100" s="1680"/>
      <c r="AL100" s="439"/>
      <c r="AM100" s="1680"/>
      <c r="AN100" s="1680"/>
      <c r="AO100" s="1680"/>
    </row>
    <row r="101" spans="1:42">
      <c r="A101" s="434"/>
      <c r="G101" s="434"/>
      <c r="H101" s="434"/>
      <c r="I101" s="434"/>
      <c r="J101" s="434"/>
      <c r="K101" s="643"/>
      <c r="M101" s="434"/>
      <c r="N101" s="434"/>
      <c r="O101" s="434"/>
      <c r="P101" s="434"/>
      <c r="Y101" s="452"/>
      <c r="Z101" s="452"/>
      <c r="AA101" s="452"/>
      <c r="AB101" s="452"/>
      <c r="AC101" s="452"/>
      <c r="AF101" s="434"/>
      <c r="AG101" s="434"/>
      <c r="AH101" s="434"/>
      <c r="AI101" s="434"/>
      <c r="AL101" s="434"/>
      <c r="AM101" s="434"/>
      <c r="AN101" s="434"/>
      <c r="AO101" s="434"/>
    </row>
    <row r="102" spans="1:42">
      <c r="A102" s="452"/>
      <c r="G102" s="452"/>
      <c r="H102" s="434"/>
      <c r="I102" s="434"/>
      <c r="J102" s="434"/>
      <c r="K102" s="643"/>
      <c r="M102" s="452"/>
      <c r="N102" s="452"/>
      <c r="O102" s="452"/>
      <c r="P102" s="452"/>
      <c r="Y102" s="452"/>
      <c r="Z102" s="452"/>
      <c r="AA102" s="452"/>
      <c r="AB102" s="452"/>
      <c r="AC102" s="452"/>
      <c r="AF102" s="452"/>
      <c r="AG102" s="452"/>
      <c r="AH102" s="452"/>
      <c r="AI102" s="452"/>
      <c r="AL102" s="452"/>
      <c r="AM102" s="452"/>
      <c r="AN102" s="452"/>
      <c r="AO102" s="452"/>
    </row>
    <row r="103" spans="1:42">
      <c r="A103" s="439" t="s">
        <v>527</v>
      </c>
      <c r="G103" s="439" t="s">
        <v>527</v>
      </c>
      <c r="H103" s="440"/>
      <c r="I103" s="440"/>
      <c r="J103" s="440"/>
      <c r="K103" s="1679"/>
      <c r="M103" s="439"/>
      <c r="N103" s="1680"/>
      <c r="O103" s="1680"/>
      <c r="P103" s="1680"/>
      <c r="Y103" s="1675"/>
      <c r="Z103" s="1675"/>
      <c r="AA103" s="1675"/>
      <c r="AB103" s="1675"/>
      <c r="AC103" s="1675"/>
      <c r="AF103" s="439"/>
      <c r="AG103" s="1680"/>
      <c r="AH103" s="1680"/>
      <c r="AI103" s="1680"/>
      <c r="AL103" s="439"/>
      <c r="AM103" s="1680"/>
      <c r="AN103" s="1680"/>
      <c r="AO103" s="1680"/>
    </row>
    <row r="104" spans="1:42">
      <c r="A104" s="441" t="s">
        <v>513</v>
      </c>
      <c r="B104" s="455">
        <f>H104+T104</f>
        <v>10630</v>
      </c>
      <c r="C104" s="455">
        <f>I104+U104</f>
        <v>9713</v>
      </c>
      <c r="D104" s="455">
        <f>J104+V104</f>
        <v>9693</v>
      </c>
      <c r="E104" s="455">
        <f>K104+W104+Q104</f>
        <v>9982</v>
      </c>
      <c r="G104" s="441" t="s">
        <v>513</v>
      </c>
      <c r="H104" s="435">
        <v>10630</v>
      </c>
      <c r="I104" s="435">
        <v>9713</v>
      </c>
      <c r="J104" s="435">
        <v>9693</v>
      </c>
      <c r="K104" s="1186">
        <v>9982</v>
      </c>
      <c r="M104" s="441" t="s">
        <v>513</v>
      </c>
      <c r="N104" s="445">
        <f t="shared" ref="N104:N115" si="38">IF($B$4="no",AG104,AM104)</f>
        <v>0</v>
      </c>
      <c r="O104" s="445">
        <f t="shared" ref="O104:O115" si="39">IF($B$4="no",AH104,AN104)</f>
        <v>0</v>
      </c>
      <c r="P104" s="445">
        <f t="shared" ref="P104:P115" si="40">IF($B$4="no",AI104,AO104)</f>
        <v>0</v>
      </c>
      <c r="Q104" s="445">
        <f t="shared" ref="Q104:Q115" si="41">IF($B$4="no",AJ104,AP104)</f>
        <v>0</v>
      </c>
      <c r="Y104" s="445"/>
      <c r="Z104" s="445"/>
      <c r="AA104" s="445"/>
      <c r="AB104" s="445"/>
      <c r="AC104" s="445"/>
      <c r="AF104" s="441" t="s">
        <v>513</v>
      </c>
      <c r="AG104" s="445"/>
      <c r="AH104" s="445"/>
      <c r="AI104" s="445"/>
      <c r="AL104" s="441" t="s">
        <v>513</v>
      </c>
      <c r="AM104" s="445"/>
      <c r="AN104" s="445"/>
      <c r="AO104" s="445"/>
    </row>
    <row r="105" spans="1:42">
      <c r="A105" s="441" t="s">
        <v>6</v>
      </c>
      <c r="B105" s="455">
        <f>H105+T105+N105</f>
        <v>5539</v>
      </c>
      <c r="C105" s="455">
        <f>I105+U105+O105</f>
        <v>4853</v>
      </c>
      <c r="D105" s="455">
        <f>J105+V105+P105</f>
        <v>3330</v>
      </c>
      <c r="E105" s="455">
        <f t="shared" ref="E105:E115" si="42">K105+W105+Q105</f>
        <v>3832</v>
      </c>
      <c r="G105" s="441" t="s">
        <v>6</v>
      </c>
      <c r="H105" s="435">
        <v>4925</v>
      </c>
      <c r="I105" s="435">
        <v>4308</v>
      </c>
      <c r="J105" s="435">
        <v>3096</v>
      </c>
      <c r="K105" s="1186">
        <v>3091</v>
      </c>
      <c r="M105" s="441" t="s">
        <v>6</v>
      </c>
      <c r="N105" s="445">
        <f t="shared" si="38"/>
        <v>614</v>
      </c>
      <c r="O105" s="445">
        <f t="shared" si="39"/>
        <v>545</v>
      </c>
      <c r="P105" s="445">
        <f t="shared" si="40"/>
        <v>234</v>
      </c>
      <c r="Q105" s="445">
        <f t="shared" si="41"/>
        <v>741</v>
      </c>
      <c r="Y105" s="445"/>
      <c r="Z105" s="445"/>
      <c r="AA105" s="445"/>
      <c r="AB105" s="445"/>
      <c r="AC105" s="445"/>
      <c r="AF105" s="441" t="s">
        <v>6</v>
      </c>
      <c r="AG105" s="445"/>
      <c r="AH105" s="445"/>
      <c r="AI105" s="445"/>
      <c r="AL105" s="441" t="s">
        <v>6</v>
      </c>
      <c r="AM105" s="445">
        <f>-AM128</f>
        <v>614</v>
      </c>
      <c r="AN105" s="445">
        <f t="shared" ref="AN105:AP107" si="43">-AN128</f>
        <v>545</v>
      </c>
      <c r="AO105" s="445">
        <f t="shared" si="43"/>
        <v>234</v>
      </c>
      <c r="AP105" s="445">
        <f t="shared" si="43"/>
        <v>741</v>
      </c>
    </row>
    <row r="106" spans="1:42">
      <c r="A106" s="441" t="s">
        <v>8</v>
      </c>
      <c r="B106" s="455">
        <f t="shared" ref="B106:B115" si="44">H106+T106</f>
        <v>1355</v>
      </c>
      <c r="C106" s="455">
        <f>I106+U106</f>
        <v>1216</v>
      </c>
      <c r="D106" s="455">
        <f>J106+V106</f>
        <v>1139</v>
      </c>
      <c r="E106" s="455">
        <f t="shared" si="42"/>
        <v>1006</v>
      </c>
      <c r="G106" s="441" t="s">
        <v>8</v>
      </c>
      <c r="H106" s="435">
        <v>1355</v>
      </c>
      <c r="I106" s="435">
        <v>1216</v>
      </c>
      <c r="J106" s="435">
        <v>1139</v>
      </c>
      <c r="K106" s="1186">
        <v>1006</v>
      </c>
      <c r="M106" s="441" t="s">
        <v>8</v>
      </c>
      <c r="N106" s="445">
        <f t="shared" si="38"/>
        <v>0</v>
      </c>
      <c r="O106" s="445">
        <f t="shared" si="39"/>
        <v>0</v>
      </c>
      <c r="P106" s="445">
        <f t="shared" si="40"/>
        <v>0</v>
      </c>
      <c r="Q106" s="445">
        <f t="shared" si="41"/>
        <v>0</v>
      </c>
      <c r="Y106" s="445"/>
      <c r="Z106" s="445"/>
      <c r="AA106" s="445"/>
      <c r="AB106" s="445"/>
      <c r="AC106" s="445"/>
      <c r="AF106" s="441" t="s">
        <v>8</v>
      </c>
      <c r="AG106" s="445"/>
      <c r="AH106" s="445"/>
      <c r="AI106" s="445"/>
      <c r="AL106" s="441" t="s">
        <v>8</v>
      </c>
      <c r="AM106" s="445"/>
      <c r="AN106" s="445"/>
      <c r="AO106" s="445"/>
      <c r="AP106" s="1676"/>
    </row>
    <row r="107" spans="1:42">
      <c r="A107" s="442" t="s">
        <v>2</v>
      </c>
      <c r="B107" s="455">
        <f>H107+T107+N107</f>
        <v>3619</v>
      </c>
      <c r="C107" s="455">
        <f>I107+U107+O107</f>
        <v>3558</v>
      </c>
      <c r="D107" s="455">
        <f>J107+V107+P107</f>
        <v>3255</v>
      </c>
      <c r="E107" s="455">
        <f>K107+W107+Q107</f>
        <v>2846</v>
      </c>
      <c r="G107" s="442" t="s">
        <v>2</v>
      </c>
      <c r="H107" s="443">
        <v>3619</v>
      </c>
      <c r="I107" s="443">
        <v>3558</v>
      </c>
      <c r="J107" s="443">
        <v>3255</v>
      </c>
      <c r="K107" s="1187">
        <v>2843</v>
      </c>
      <c r="M107" s="442" t="s">
        <v>2</v>
      </c>
      <c r="N107" s="445">
        <f t="shared" si="38"/>
        <v>0</v>
      </c>
      <c r="O107" s="445">
        <f t="shared" si="39"/>
        <v>0</v>
      </c>
      <c r="P107" s="445">
        <f t="shared" si="40"/>
        <v>0</v>
      </c>
      <c r="Q107" s="445">
        <f t="shared" si="41"/>
        <v>3</v>
      </c>
      <c r="Y107" s="445"/>
      <c r="Z107" s="445"/>
      <c r="AA107" s="445"/>
      <c r="AB107" s="445"/>
      <c r="AC107" s="445"/>
      <c r="AF107" s="442" t="s">
        <v>2</v>
      </c>
      <c r="AG107" s="1775"/>
      <c r="AH107" s="1775"/>
      <c r="AI107" s="1775"/>
      <c r="AL107" s="442" t="s">
        <v>2</v>
      </c>
      <c r="AM107" s="445">
        <f>-AM130</f>
        <v>0</v>
      </c>
      <c r="AN107" s="445">
        <f t="shared" si="43"/>
        <v>0</v>
      </c>
      <c r="AO107" s="445">
        <f t="shared" si="43"/>
        <v>0</v>
      </c>
      <c r="AP107" s="445">
        <f t="shared" si="43"/>
        <v>3</v>
      </c>
    </row>
    <row r="108" spans="1:42">
      <c r="A108" s="441" t="s">
        <v>10</v>
      </c>
      <c r="B108" s="455">
        <f t="shared" si="44"/>
        <v>18055</v>
      </c>
      <c r="C108" s="455">
        <f t="shared" ref="C108:D112" si="45">I108+U108</f>
        <v>17346</v>
      </c>
      <c r="D108" s="455">
        <f t="shared" si="45"/>
        <v>18373</v>
      </c>
      <c r="E108" s="455">
        <f t="shared" si="42"/>
        <v>18748</v>
      </c>
      <c r="G108" s="441" t="s">
        <v>10</v>
      </c>
      <c r="H108" s="435">
        <v>18055</v>
      </c>
      <c r="I108" s="435">
        <v>17346</v>
      </c>
      <c r="J108" s="435">
        <v>18373</v>
      </c>
      <c r="K108" s="1186">
        <v>18748</v>
      </c>
      <c r="M108" s="441" t="s">
        <v>10</v>
      </c>
      <c r="N108" s="445">
        <f t="shared" si="38"/>
        <v>0</v>
      </c>
      <c r="O108" s="445">
        <f t="shared" si="39"/>
        <v>0</v>
      </c>
      <c r="P108" s="445">
        <f t="shared" si="40"/>
        <v>0</v>
      </c>
      <c r="Q108" s="445">
        <f t="shared" si="41"/>
        <v>0</v>
      </c>
      <c r="Y108" s="445"/>
      <c r="Z108" s="445"/>
      <c r="AA108" s="445"/>
      <c r="AB108" s="445"/>
      <c r="AC108" s="445"/>
      <c r="AF108" s="441" t="s">
        <v>10</v>
      </c>
      <c r="AG108" s="445"/>
      <c r="AH108" s="445"/>
      <c r="AI108" s="445"/>
      <c r="AL108" s="441" t="s">
        <v>10</v>
      </c>
      <c r="AM108" s="445"/>
      <c r="AN108" s="445"/>
      <c r="AO108" s="445"/>
      <c r="AP108" s="1676"/>
    </row>
    <row r="109" spans="1:42">
      <c r="A109" s="441" t="s">
        <v>4</v>
      </c>
      <c r="B109" s="455">
        <f t="shared" si="44"/>
        <v>15463</v>
      </c>
      <c r="C109" s="455">
        <f t="shared" si="45"/>
        <v>15711</v>
      </c>
      <c r="D109" s="455">
        <f t="shared" si="45"/>
        <v>15000</v>
      </c>
      <c r="E109" s="455">
        <f t="shared" si="42"/>
        <v>14929</v>
      </c>
      <c r="G109" s="441" t="s">
        <v>4</v>
      </c>
      <c r="H109" s="435">
        <v>15463</v>
      </c>
      <c r="I109" s="435">
        <v>15711</v>
      </c>
      <c r="J109" s="435">
        <v>15000</v>
      </c>
      <c r="K109" s="1186">
        <v>14929</v>
      </c>
      <c r="M109" s="441" t="s">
        <v>4</v>
      </c>
      <c r="N109" s="445">
        <f t="shared" si="38"/>
        <v>0</v>
      </c>
      <c r="O109" s="445">
        <f t="shared" si="39"/>
        <v>0</v>
      </c>
      <c r="P109" s="445">
        <f t="shared" si="40"/>
        <v>0</v>
      </c>
      <c r="Q109" s="445">
        <f t="shared" si="41"/>
        <v>0</v>
      </c>
      <c r="Y109" s="445"/>
      <c r="Z109" s="445"/>
      <c r="AA109" s="445"/>
      <c r="AB109" s="445"/>
      <c r="AC109" s="445"/>
      <c r="AF109" s="441" t="s">
        <v>4</v>
      </c>
      <c r="AG109" s="445"/>
      <c r="AH109" s="445"/>
      <c r="AI109" s="445"/>
      <c r="AL109" s="441" t="s">
        <v>4</v>
      </c>
      <c r="AM109" s="445"/>
      <c r="AN109" s="445"/>
      <c r="AO109" s="445"/>
      <c r="AP109" s="1676"/>
    </row>
    <row r="110" spans="1:42">
      <c r="A110" s="441" t="s">
        <v>14</v>
      </c>
      <c r="B110" s="455">
        <f t="shared" si="44"/>
        <v>2762</v>
      </c>
      <c r="C110" s="455">
        <f t="shared" si="45"/>
        <v>2761</v>
      </c>
      <c r="D110" s="455">
        <f t="shared" si="45"/>
        <v>2767</v>
      </c>
      <c r="E110" s="455">
        <f t="shared" si="42"/>
        <v>2359</v>
      </c>
      <c r="G110" s="441" t="s">
        <v>14</v>
      </c>
      <c r="H110" s="435">
        <v>2762</v>
      </c>
      <c r="I110" s="435">
        <v>2761</v>
      </c>
      <c r="J110" s="435">
        <v>2767</v>
      </c>
      <c r="K110" s="1186">
        <v>2359</v>
      </c>
      <c r="M110" s="441" t="s">
        <v>14</v>
      </c>
      <c r="N110" s="445">
        <f t="shared" si="38"/>
        <v>0</v>
      </c>
      <c r="O110" s="445">
        <f t="shared" si="39"/>
        <v>0</v>
      </c>
      <c r="P110" s="445">
        <f t="shared" si="40"/>
        <v>0</v>
      </c>
      <c r="Q110" s="445">
        <f t="shared" si="41"/>
        <v>0</v>
      </c>
      <c r="Y110" s="445"/>
      <c r="Z110" s="445"/>
      <c r="AA110" s="445"/>
      <c r="AB110" s="445"/>
      <c r="AC110" s="445"/>
      <c r="AF110" s="441" t="s">
        <v>14</v>
      </c>
      <c r="AG110" s="445"/>
      <c r="AH110" s="445"/>
      <c r="AI110" s="445"/>
      <c r="AL110" s="441" t="s">
        <v>14</v>
      </c>
      <c r="AM110" s="445"/>
      <c r="AN110" s="445"/>
      <c r="AO110" s="445"/>
    </row>
    <row r="111" spans="1:42">
      <c r="A111" s="442" t="s">
        <v>17</v>
      </c>
      <c r="B111" s="455">
        <f t="shared" si="44"/>
        <v>7282</v>
      </c>
      <c r="C111" s="455">
        <f t="shared" si="45"/>
        <v>7392</v>
      </c>
      <c r="D111" s="455">
        <f t="shared" si="45"/>
        <v>8333</v>
      </c>
      <c r="E111" s="455">
        <f t="shared" si="42"/>
        <v>8595</v>
      </c>
      <c r="G111" s="442" t="s">
        <v>17</v>
      </c>
      <c r="H111" s="443">
        <v>7282</v>
      </c>
      <c r="I111" s="443">
        <v>7392</v>
      </c>
      <c r="J111" s="443">
        <v>8333</v>
      </c>
      <c r="K111" s="1187">
        <v>8595</v>
      </c>
      <c r="M111" s="442" t="s">
        <v>17</v>
      </c>
      <c r="N111" s="445">
        <f t="shared" si="38"/>
        <v>0</v>
      </c>
      <c r="O111" s="445">
        <f t="shared" si="39"/>
        <v>0</v>
      </c>
      <c r="P111" s="445">
        <f t="shared" si="40"/>
        <v>0</v>
      </c>
      <c r="Q111" s="445">
        <f t="shared" si="41"/>
        <v>0</v>
      </c>
      <c r="Y111" s="445"/>
      <c r="Z111" s="445"/>
      <c r="AA111" s="445"/>
      <c r="AB111" s="445"/>
      <c r="AC111" s="445"/>
      <c r="AF111" s="442" t="s">
        <v>17</v>
      </c>
      <c r="AG111" s="1775"/>
      <c r="AH111" s="1775"/>
      <c r="AI111" s="1775"/>
      <c r="AL111" s="442" t="s">
        <v>17</v>
      </c>
      <c r="AM111" s="1775"/>
      <c r="AN111" s="1775"/>
      <c r="AO111" s="1775"/>
      <c r="AP111" s="1676"/>
    </row>
    <row r="112" spans="1:42">
      <c r="A112" s="441" t="s">
        <v>316</v>
      </c>
      <c r="B112" s="455">
        <f t="shared" si="44"/>
        <v>12157</v>
      </c>
      <c r="C112" s="455">
        <f t="shared" si="45"/>
        <v>11798</v>
      </c>
      <c r="D112" s="455">
        <f t="shared" si="45"/>
        <v>13052</v>
      </c>
      <c r="E112" s="455">
        <f t="shared" si="42"/>
        <v>14018</v>
      </c>
      <c r="G112" s="441" t="s">
        <v>316</v>
      </c>
      <c r="H112" s="435">
        <v>12157</v>
      </c>
      <c r="I112" s="435">
        <v>11798</v>
      </c>
      <c r="J112" s="435">
        <v>13052</v>
      </c>
      <c r="K112" s="1186">
        <v>14018</v>
      </c>
      <c r="M112" s="441" t="s">
        <v>316</v>
      </c>
      <c r="N112" s="445">
        <f t="shared" si="38"/>
        <v>0</v>
      </c>
      <c r="O112" s="445">
        <f t="shared" si="39"/>
        <v>0</v>
      </c>
      <c r="P112" s="445">
        <f t="shared" si="40"/>
        <v>0</v>
      </c>
      <c r="Q112" s="445">
        <f t="shared" si="41"/>
        <v>0</v>
      </c>
      <c r="Y112" s="445"/>
      <c r="Z112" s="445"/>
      <c r="AA112" s="445"/>
      <c r="AB112" s="445"/>
      <c r="AC112" s="445"/>
      <c r="AF112" s="441" t="s">
        <v>316</v>
      </c>
      <c r="AG112" s="445"/>
      <c r="AH112" s="445"/>
      <c r="AI112" s="445"/>
      <c r="AL112" s="441" t="s">
        <v>316</v>
      </c>
      <c r="AM112" s="445"/>
      <c r="AN112" s="445"/>
      <c r="AO112" s="445"/>
      <c r="AP112" s="1676"/>
    </row>
    <row r="113" spans="1:42">
      <c r="A113" s="441" t="s">
        <v>7</v>
      </c>
      <c r="B113" s="455">
        <f>H113+T113+N113</f>
        <v>34208</v>
      </c>
      <c r="C113" s="455">
        <f>I113+U113+O113</f>
        <v>35004</v>
      </c>
      <c r="D113" s="455">
        <f>J113+V113+P113</f>
        <v>33481</v>
      </c>
      <c r="E113" s="455">
        <f>K113+W113+Q113</f>
        <v>32931</v>
      </c>
      <c r="G113" s="441" t="s">
        <v>7</v>
      </c>
      <c r="H113" s="435">
        <v>34184</v>
      </c>
      <c r="I113" s="435">
        <v>34974</v>
      </c>
      <c r="J113" s="435">
        <v>33444</v>
      </c>
      <c r="K113" s="1186">
        <v>32879</v>
      </c>
      <c r="M113" s="441" t="s">
        <v>7</v>
      </c>
      <c r="N113" s="445">
        <f t="shared" si="38"/>
        <v>24</v>
      </c>
      <c r="O113" s="445">
        <f t="shared" si="39"/>
        <v>30</v>
      </c>
      <c r="P113" s="445">
        <f t="shared" si="40"/>
        <v>37</v>
      </c>
      <c r="Q113" s="445">
        <f t="shared" si="41"/>
        <v>52</v>
      </c>
      <c r="Y113" s="445"/>
      <c r="Z113" s="445"/>
      <c r="AA113" s="445"/>
      <c r="AB113" s="445"/>
      <c r="AC113" s="445"/>
      <c r="AF113" s="441" t="s">
        <v>7</v>
      </c>
      <c r="AG113" s="445"/>
      <c r="AH113" s="445"/>
      <c r="AI113" s="445"/>
      <c r="AL113" s="441" t="s">
        <v>7</v>
      </c>
      <c r="AM113" s="445">
        <f>-AM136</f>
        <v>24</v>
      </c>
      <c r="AN113" s="445">
        <f>-AN136</f>
        <v>30</v>
      </c>
      <c r="AO113" s="445">
        <f>-AO136</f>
        <v>37</v>
      </c>
      <c r="AP113" s="445">
        <f>-AP136</f>
        <v>52</v>
      </c>
    </row>
    <row r="114" spans="1:42">
      <c r="A114" s="441" t="s">
        <v>514</v>
      </c>
      <c r="B114" s="455">
        <f t="shared" si="44"/>
        <v>6031</v>
      </c>
      <c r="C114" s="455">
        <f>I114+U114</f>
        <v>6807</v>
      </c>
      <c r="D114" s="455">
        <f>J114+V114</f>
        <v>8195</v>
      </c>
      <c r="E114" s="455">
        <f t="shared" si="42"/>
        <v>7871</v>
      </c>
      <c r="G114" s="441" t="s">
        <v>514</v>
      </c>
      <c r="H114" s="435">
        <v>6031</v>
      </c>
      <c r="I114" s="435">
        <v>6807</v>
      </c>
      <c r="J114" s="435">
        <v>8195</v>
      </c>
      <c r="K114" s="1186">
        <v>7871</v>
      </c>
      <c r="M114" s="441" t="s">
        <v>514</v>
      </c>
      <c r="N114" s="445">
        <f t="shared" si="38"/>
        <v>0</v>
      </c>
      <c r="O114" s="445">
        <f t="shared" si="39"/>
        <v>0</v>
      </c>
      <c r="P114" s="445">
        <f t="shared" si="40"/>
        <v>0</v>
      </c>
      <c r="Q114" s="445">
        <f t="shared" si="41"/>
        <v>0</v>
      </c>
      <c r="Y114" s="445"/>
      <c r="Z114" s="445"/>
      <c r="AA114" s="445"/>
      <c r="AB114" s="445"/>
      <c r="AC114" s="445"/>
      <c r="AF114" s="441" t="s">
        <v>514</v>
      </c>
      <c r="AG114" s="445"/>
      <c r="AH114" s="445"/>
      <c r="AI114" s="445"/>
      <c r="AL114" s="441" t="s">
        <v>514</v>
      </c>
      <c r="AM114" s="445"/>
      <c r="AN114" s="445"/>
      <c r="AO114" s="445"/>
    </row>
    <row r="115" spans="1:42">
      <c r="A115" s="442" t="s">
        <v>515</v>
      </c>
      <c r="B115" s="455">
        <f t="shared" si="44"/>
        <v>4380</v>
      </c>
      <c r="C115" s="455">
        <f>I115+U115</f>
        <v>4198</v>
      </c>
      <c r="D115" s="455">
        <f>J115+V115</f>
        <v>4324</v>
      </c>
      <c r="E115" s="455">
        <f t="shared" si="42"/>
        <v>3703</v>
      </c>
      <c r="G115" s="442" t="s">
        <v>515</v>
      </c>
      <c r="H115" s="443">
        <v>4380</v>
      </c>
      <c r="I115" s="443">
        <v>4198</v>
      </c>
      <c r="J115" s="443">
        <v>4324</v>
      </c>
      <c r="K115" s="1187">
        <v>3703</v>
      </c>
      <c r="M115" s="442" t="s">
        <v>515</v>
      </c>
      <c r="N115" s="445">
        <f t="shared" si="38"/>
        <v>0</v>
      </c>
      <c r="O115" s="445">
        <f t="shared" si="39"/>
        <v>0</v>
      </c>
      <c r="P115" s="445">
        <f t="shared" si="40"/>
        <v>0</v>
      </c>
      <c r="Q115" s="445">
        <f t="shared" si="41"/>
        <v>0</v>
      </c>
      <c r="Y115" s="445"/>
      <c r="Z115" s="445"/>
      <c r="AA115" s="445"/>
      <c r="AB115" s="445"/>
      <c r="AC115" s="445"/>
      <c r="AF115" s="442" t="s">
        <v>515</v>
      </c>
      <c r="AG115" s="1775"/>
      <c r="AH115" s="1775"/>
      <c r="AI115" s="1775"/>
      <c r="AL115" s="442" t="s">
        <v>515</v>
      </c>
      <c r="AM115" s="1775"/>
      <c r="AN115" s="1775"/>
      <c r="AO115" s="1775"/>
    </row>
    <row r="116" spans="1:42">
      <c r="A116" s="441"/>
      <c r="G116" s="441"/>
      <c r="H116" s="434"/>
      <c r="I116" s="434"/>
      <c r="J116" s="434"/>
      <c r="K116" s="1188"/>
      <c r="M116" s="441"/>
      <c r="N116" s="445"/>
      <c r="O116" s="445"/>
      <c r="P116" s="445"/>
      <c r="Y116" s="445"/>
      <c r="Z116" s="445"/>
      <c r="AA116" s="445"/>
      <c r="AB116" s="445"/>
      <c r="AC116" s="445"/>
      <c r="AF116" s="441"/>
      <c r="AG116" s="445"/>
      <c r="AH116" s="445"/>
      <c r="AI116" s="445"/>
      <c r="AL116" s="441"/>
      <c r="AM116" s="445"/>
      <c r="AN116" s="445"/>
      <c r="AO116" s="445"/>
    </row>
    <row r="117" spans="1:42">
      <c r="A117" s="441" t="s">
        <v>516</v>
      </c>
      <c r="B117" s="455">
        <f t="shared" ref="B117:D121" si="46">H117+T117</f>
        <v>0</v>
      </c>
      <c r="C117" s="455">
        <f t="shared" si="46"/>
        <v>0</v>
      </c>
      <c r="D117" s="455">
        <f t="shared" si="46"/>
        <v>0</v>
      </c>
      <c r="E117" s="455">
        <f t="shared" ref="E117:E122" si="47">K117+W117+Q117</f>
        <v>0</v>
      </c>
      <c r="G117" s="441" t="s">
        <v>516</v>
      </c>
      <c r="H117" s="434"/>
      <c r="I117" s="434"/>
      <c r="J117" s="434"/>
      <c r="K117" s="1683"/>
      <c r="M117" s="441" t="s">
        <v>516</v>
      </c>
      <c r="N117" s="445"/>
      <c r="O117" s="445"/>
      <c r="P117" s="445"/>
      <c r="Y117" s="445"/>
      <c r="Z117" s="445"/>
      <c r="AA117" s="445"/>
      <c r="AB117" s="445"/>
      <c r="AC117" s="445"/>
      <c r="AF117" s="441" t="s">
        <v>516</v>
      </c>
      <c r="AG117" s="445"/>
      <c r="AH117" s="445"/>
      <c r="AI117" s="445"/>
      <c r="AL117" s="441" t="s">
        <v>516</v>
      </c>
      <c r="AM117" s="445"/>
      <c r="AN117" s="445"/>
      <c r="AO117" s="445"/>
    </row>
    <row r="118" spans="1:42">
      <c r="A118" s="441" t="s">
        <v>517</v>
      </c>
      <c r="B118" s="455">
        <f t="shared" si="46"/>
        <v>0</v>
      </c>
      <c r="C118" s="455">
        <f t="shared" si="46"/>
        <v>0</v>
      </c>
      <c r="D118" s="455">
        <f t="shared" si="46"/>
        <v>0</v>
      </c>
      <c r="E118" s="455">
        <f t="shared" si="47"/>
        <v>0</v>
      </c>
      <c r="G118" s="441" t="s">
        <v>517</v>
      </c>
      <c r="H118" s="434"/>
      <c r="I118" s="434"/>
      <c r="J118" s="434"/>
      <c r="K118" s="1683"/>
      <c r="M118" s="441" t="s">
        <v>517</v>
      </c>
      <c r="N118" s="445"/>
      <c r="O118" s="445"/>
      <c r="P118" s="445"/>
      <c r="Y118" s="445"/>
      <c r="Z118" s="445"/>
      <c r="AA118" s="445"/>
      <c r="AB118" s="445"/>
      <c r="AC118" s="445"/>
      <c r="AF118" s="441" t="s">
        <v>517</v>
      </c>
      <c r="AG118" s="445"/>
      <c r="AH118" s="445"/>
      <c r="AI118" s="445"/>
      <c r="AL118" s="441" t="s">
        <v>517</v>
      </c>
      <c r="AM118" s="445"/>
      <c r="AN118" s="445"/>
      <c r="AO118" s="445"/>
    </row>
    <row r="119" spans="1:42">
      <c r="A119" s="442" t="s">
        <v>518</v>
      </c>
      <c r="B119" s="455">
        <f t="shared" si="46"/>
        <v>0</v>
      </c>
      <c r="C119" s="455">
        <f t="shared" si="46"/>
        <v>0</v>
      </c>
      <c r="D119" s="455">
        <f t="shared" si="46"/>
        <v>0</v>
      </c>
      <c r="E119" s="455">
        <f t="shared" si="47"/>
        <v>0</v>
      </c>
      <c r="G119" s="442" t="s">
        <v>518</v>
      </c>
      <c r="H119" s="444"/>
      <c r="I119" s="444"/>
      <c r="J119" s="444"/>
      <c r="K119" s="1684"/>
      <c r="M119" s="442" t="s">
        <v>518</v>
      </c>
      <c r="N119" s="1775"/>
      <c r="O119" s="1775"/>
      <c r="P119" s="1775"/>
      <c r="Y119" s="445"/>
      <c r="Z119" s="445"/>
      <c r="AA119" s="445"/>
      <c r="AB119" s="445"/>
      <c r="AC119" s="445"/>
      <c r="AF119" s="442" t="s">
        <v>518</v>
      </c>
      <c r="AG119" s="1775"/>
      <c r="AH119" s="1775"/>
      <c r="AI119" s="1775"/>
      <c r="AL119" s="442" t="s">
        <v>518</v>
      </c>
      <c r="AM119" s="1775"/>
      <c r="AN119" s="1775"/>
      <c r="AO119" s="1775"/>
    </row>
    <row r="120" spans="1:42">
      <c r="A120" s="441" t="s">
        <v>519</v>
      </c>
      <c r="B120" s="455">
        <f t="shared" si="46"/>
        <v>0</v>
      </c>
      <c r="C120" s="455">
        <f t="shared" si="46"/>
        <v>0</v>
      </c>
      <c r="D120" s="455">
        <f t="shared" si="46"/>
        <v>0</v>
      </c>
      <c r="E120" s="455">
        <f t="shared" si="47"/>
        <v>0</v>
      </c>
      <c r="G120" s="441" t="s">
        <v>519</v>
      </c>
      <c r="H120" s="434"/>
      <c r="I120" s="434"/>
      <c r="J120" s="434"/>
      <c r="K120" s="1683"/>
      <c r="M120" s="441" t="s">
        <v>519</v>
      </c>
      <c r="N120" s="445"/>
      <c r="O120" s="445"/>
      <c r="P120" s="445"/>
      <c r="AF120" s="441" t="s">
        <v>519</v>
      </c>
      <c r="AG120" s="445"/>
      <c r="AH120" s="445"/>
      <c r="AI120" s="445"/>
      <c r="AL120" s="441" t="s">
        <v>519</v>
      </c>
      <c r="AM120" s="445"/>
      <c r="AN120" s="445"/>
      <c r="AO120" s="445"/>
    </row>
    <row r="121" spans="1:42">
      <c r="A121" s="445" t="s">
        <v>520</v>
      </c>
      <c r="B121" s="455">
        <f t="shared" si="46"/>
        <v>0</v>
      </c>
      <c r="C121" s="455">
        <f t="shared" si="46"/>
        <v>0</v>
      </c>
      <c r="D121" s="455">
        <f t="shared" si="46"/>
        <v>0</v>
      </c>
      <c r="E121" s="455">
        <f t="shared" si="47"/>
        <v>0</v>
      </c>
      <c r="G121" s="445" t="s">
        <v>520</v>
      </c>
      <c r="H121" s="434"/>
      <c r="I121" s="434"/>
      <c r="J121" s="434"/>
      <c r="K121" s="1683"/>
      <c r="M121" s="445" t="s">
        <v>520</v>
      </c>
      <c r="N121" s="445"/>
      <c r="O121" s="445"/>
      <c r="P121" s="445"/>
      <c r="AF121" s="445" t="s">
        <v>520</v>
      </c>
      <c r="AG121" s="445"/>
      <c r="AH121" s="445"/>
      <c r="AI121" s="445"/>
      <c r="AL121" s="445" t="s">
        <v>520</v>
      </c>
      <c r="AM121" s="445"/>
      <c r="AN121" s="445"/>
      <c r="AO121" s="445"/>
    </row>
    <row r="122" spans="1:42">
      <c r="A122" s="446"/>
      <c r="B122" s="1700">
        <f>SUM(B104:B121)</f>
        <v>121481</v>
      </c>
      <c r="C122" s="1700">
        <f>SUM(C104:C121)</f>
        <v>120357</v>
      </c>
      <c r="D122" s="1700">
        <f>SUM(D104:D121)</f>
        <v>120942</v>
      </c>
      <c r="E122" s="455">
        <f t="shared" si="47"/>
        <v>120820</v>
      </c>
      <c r="F122">
        <v>120024</v>
      </c>
      <c r="G122" s="446"/>
      <c r="H122" s="447">
        <f>SUM(H104:H121)</f>
        <v>120843</v>
      </c>
      <c r="I122" s="447">
        <f>SUM(I104:I121)</f>
        <v>119782</v>
      </c>
      <c r="J122" s="447">
        <f>SUM(J104:J121)</f>
        <v>120671</v>
      </c>
      <c r="K122" s="447">
        <f>SUM(K104:K121)</f>
        <v>120024</v>
      </c>
      <c r="M122" s="446"/>
      <c r="N122" s="1776"/>
      <c r="O122" s="1776"/>
      <c r="P122" s="1776"/>
      <c r="Q122" s="447">
        <f>SUM(Q104:Q121)</f>
        <v>796</v>
      </c>
      <c r="S122" s="447">
        <f>SUM(S104:S121)</f>
        <v>0</v>
      </c>
      <c r="T122" s="447">
        <f>SUM(T104:T121)</f>
        <v>0</v>
      </c>
      <c r="U122" s="447">
        <f>SUM(U104:U121)</f>
        <v>0</v>
      </c>
      <c r="V122" s="447">
        <f>SUM(V104:V121)</f>
        <v>0</v>
      </c>
      <c r="W122" s="447">
        <f>SUM(W104:W121)</f>
        <v>0</v>
      </c>
      <c r="Y122" s="1678"/>
      <c r="Z122" s="447">
        <f>SUM(Z104:Z121)</f>
        <v>0</v>
      </c>
      <c r="AA122" s="447">
        <f>SUM(AA104:AA121)</f>
        <v>0</v>
      </c>
      <c r="AB122" s="447">
        <f>SUM(AB104:AB121)</f>
        <v>0</v>
      </c>
      <c r="AC122" s="447">
        <f>SUM(AC104:AC121)</f>
        <v>0</v>
      </c>
      <c r="AF122" s="446"/>
      <c r="AG122" s="1776"/>
      <c r="AH122" s="1776"/>
      <c r="AI122" s="1776"/>
      <c r="AJ122" s="447">
        <f>SUM(AJ104:AJ121)</f>
        <v>0</v>
      </c>
      <c r="AL122" s="446"/>
      <c r="AM122" s="1776"/>
      <c r="AN122" s="1776"/>
      <c r="AO122" s="1776"/>
      <c r="AP122" s="447">
        <f>SUM(AP104:AP121)</f>
        <v>796</v>
      </c>
    </row>
    <row r="123" spans="1:42">
      <c r="A123" s="148"/>
      <c r="E123" s="455">
        <f>SUM(E104:E121)</f>
        <v>120820</v>
      </c>
      <c r="G123" s="148"/>
      <c r="H123" s="434"/>
      <c r="I123" s="434"/>
      <c r="J123" s="435"/>
      <c r="K123" s="1186"/>
      <c r="M123" s="148"/>
      <c r="N123" s="148"/>
      <c r="O123" s="148"/>
      <c r="P123" s="148"/>
      <c r="AF123" s="148"/>
      <c r="AG123" s="148"/>
      <c r="AH123" s="148"/>
      <c r="AI123" s="148"/>
      <c r="AL123" s="148"/>
      <c r="AM123" s="148"/>
      <c r="AN123" s="148"/>
      <c r="AO123" s="148"/>
    </row>
    <row r="124" spans="1:42">
      <c r="A124" s="148"/>
      <c r="G124" s="148"/>
      <c r="H124" s="434"/>
      <c r="I124" s="434"/>
      <c r="J124" s="434"/>
      <c r="K124" s="643"/>
      <c r="M124" s="148"/>
      <c r="N124" s="148"/>
      <c r="O124" s="148"/>
      <c r="P124" s="148"/>
      <c r="AF124" s="148"/>
      <c r="AG124" s="148"/>
      <c r="AH124" s="148"/>
      <c r="AI124" s="148"/>
      <c r="AL124" s="148"/>
      <c r="AM124" s="148"/>
      <c r="AN124" s="148"/>
      <c r="AO124" s="148"/>
    </row>
    <row r="125" spans="1:42">
      <c r="A125" s="148"/>
      <c r="G125" s="148"/>
      <c r="H125" s="434"/>
      <c r="I125" s="434"/>
      <c r="J125" s="434"/>
      <c r="K125" s="643"/>
      <c r="M125" s="148"/>
      <c r="N125" s="148"/>
      <c r="O125" s="148"/>
      <c r="P125" s="148"/>
      <c r="S125" s="550"/>
      <c r="T125" s="433" t="s">
        <v>966</v>
      </c>
      <c r="U125" s="433" t="s">
        <v>967</v>
      </c>
      <c r="V125" s="433"/>
      <c r="W125" s="433"/>
      <c r="AF125" s="148"/>
      <c r="AG125" s="148"/>
      <c r="AH125" s="148"/>
      <c r="AI125" s="148"/>
      <c r="AL125" s="148"/>
      <c r="AM125" s="148"/>
      <c r="AN125" s="148"/>
      <c r="AO125" s="148"/>
    </row>
    <row r="126" spans="1:42">
      <c r="A126" s="439" t="s">
        <v>528</v>
      </c>
      <c r="G126" s="439" t="s">
        <v>528</v>
      </c>
      <c r="H126" s="440"/>
      <c r="I126" s="440"/>
      <c r="J126" s="440"/>
      <c r="K126" s="1679"/>
      <c r="M126" s="439"/>
      <c r="N126" s="1680"/>
      <c r="O126" s="1680"/>
      <c r="P126" s="1680"/>
      <c r="S126" s="640" t="s">
        <v>822</v>
      </c>
      <c r="T126" s="211"/>
      <c r="U126" s="211"/>
      <c r="V126" s="211"/>
      <c r="W126" s="211"/>
      <c r="AF126" s="439"/>
      <c r="AG126" s="1680"/>
      <c r="AH126" s="1680"/>
      <c r="AI126" s="1680"/>
      <c r="AL126" s="439"/>
      <c r="AM126" s="1680"/>
      <c r="AN126" s="1680"/>
      <c r="AO126" s="1680"/>
    </row>
    <row r="127" spans="1:42">
      <c r="A127" s="441" t="s">
        <v>513</v>
      </c>
      <c r="B127" s="455">
        <f>H127+T127</f>
        <v>979</v>
      </c>
      <c r="C127" s="455">
        <f>I127+U127</f>
        <v>1011</v>
      </c>
      <c r="D127" s="455">
        <f>J127+V127</f>
        <v>804</v>
      </c>
      <c r="E127" s="455">
        <f>K127+W127+Q127</f>
        <v>663</v>
      </c>
      <c r="G127" s="441" t="s">
        <v>513</v>
      </c>
      <c r="H127" s="435">
        <v>979</v>
      </c>
      <c r="I127" s="435">
        <v>1008</v>
      </c>
      <c r="J127" s="435">
        <v>801</v>
      </c>
      <c r="K127" s="1186">
        <v>660</v>
      </c>
      <c r="M127" s="441" t="s">
        <v>513</v>
      </c>
      <c r="N127" s="445">
        <f t="shared" ref="N127:N138" si="48">IF($B$4="no",AG127,AM127)</f>
        <v>0</v>
      </c>
      <c r="O127" s="445">
        <f t="shared" ref="O127:O138" si="49">IF($B$4="no",AH127,AN127)</f>
        <v>0</v>
      </c>
      <c r="P127" s="445">
        <f t="shared" ref="P127:P138" si="50">IF($B$4="no",AI127,AO127)</f>
        <v>0</v>
      </c>
      <c r="Q127" s="445">
        <f t="shared" ref="Q127:Q138" si="51">IF($B$4="no",AJ127,AP127)</f>
        <v>0</v>
      </c>
      <c r="S127" s="461" t="s">
        <v>513</v>
      </c>
      <c r="T127" s="641">
        <v>0</v>
      </c>
      <c r="U127" s="641">
        <v>3</v>
      </c>
      <c r="V127" s="641">
        <v>3</v>
      </c>
      <c r="W127" s="1186">
        <v>3</v>
      </c>
      <c r="AF127" s="441" t="s">
        <v>513</v>
      </c>
      <c r="AG127" s="445"/>
      <c r="AH127" s="445"/>
      <c r="AI127" s="445"/>
      <c r="AL127" s="441" t="s">
        <v>513</v>
      </c>
      <c r="AM127" s="445"/>
      <c r="AN127" s="445"/>
      <c r="AO127" s="445"/>
    </row>
    <row r="128" spans="1:42">
      <c r="A128" s="441" t="s">
        <v>6</v>
      </c>
      <c r="B128" s="455">
        <f>IF($B$3="yes",H128+T128+Z128+N128,H128+T128+N128)</f>
        <v>367</v>
      </c>
      <c r="C128" s="455">
        <f>IF($B$3="yes",I128+U128+AA128+O128,I128+U128+O128)</f>
        <v>387</v>
      </c>
      <c r="D128" s="455">
        <f>IF($B$3="yes",J128+V128+AB128+P128,J128+V128+P128)</f>
        <v>508</v>
      </c>
      <c r="E128" s="455">
        <f>IF($B$3="yes",K128+W128+AC128+Q128,K128+W128+Q128)</f>
        <v>671</v>
      </c>
      <c r="G128" s="441" t="s">
        <v>6</v>
      </c>
      <c r="H128" s="435">
        <v>981</v>
      </c>
      <c r="I128" s="435">
        <v>932</v>
      </c>
      <c r="J128" s="435">
        <v>742</v>
      </c>
      <c r="K128" s="1186">
        <v>1412</v>
      </c>
      <c r="M128" s="441" t="s">
        <v>6</v>
      </c>
      <c r="N128" s="445">
        <f t="shared" si="48"/>
        <v>-614</v>
      </c>
      <c r="O128" s="445">
        <f t="shared" si="49"/>
        <v>-545</v>
      </c>
      <c r="P128" s="445">
        <f t="shared" si="50"/>
        <v>-234</v>
      </c>
      <c r="Q128" s="445">
        <f t="shared" si="51"/>
        <v>-741</v>
      </c>
      <c r="S128" s="461" t="s">
        <v>6</v>
      </c>
      <c r="T128" s="641"/>
      <c r="U128" s="641"/>
      <c r="V128" s="641"/>
      <c r="W128" s="1186"/>
      <c r="AF128" s="441" t="s">
        <v>6</v>
      </c>
      <c r="AG128" s="445"/>
      <c r="AH128" s="445"/>
      <c r="AI128" s="445"/>
      <c r="AL128" s="441" t="s">
        <v>6</v>
      </c>
      <c r="AM128" s="445">
        <v>-614</v>
      </c>
      <c r="AN128" s="445">
        <v>-545</v>
      </c>
      <c r="AO128" s="445">
        <v>-234</v>
      </c>
      <c r="AP128" s="445">
        <v>-741</v>
      </c>
    </row>
    <row r="129" spans="1:42">
      <c r="A129" s="441" t="s">
        <v>8</v>
      </c>
      <c r="B129" s="455">
        <f t="shared" ref="B129:B138" si="52">H129+T129</f>
        <v>312</v>
      </c>
      <c r="C129" s="455">
        <f>I129+U129</f>
        <v>357</v>
      </c>
      <c r="D129" s="455">
        <f>J129+V129</f>
        <v>257</v>
      </c>
      <c r="E129" s="455">
        <f t="shared" ref="E129:E138" si="53">K129+W129+Q129</f>
        <v>156</v>
      </c>
      <c r="G129" s="441" t="s">
        <v>8</v>
      </c>
      <c r="H129" s="435">
        <v>312</v>
      </c>
      <c r="I129" s="435">
        <v>357</v>
      </c>
      <c r="J129" s="435">
        <v>257</v>
      </c>
      <c r="K129" s="1186">
        <v>156</v>
      </c>
      <c r="M129" s="441" t="s">
        <v>8</v>
      </c>
      <c r="N129" s="445">
        <f t="shared" si="48"/>
        <v>0</v>
      </c>
      <c r="O129" s="445">
        <f t="shared" si="49"/>
        <v>0</v>
      </c>
      <c r="P129" s="445">
        <f t="shared" si="50"/>
        <v>0</v>
      </c>
      <c r="Q129" s="445">
        <f t="shared" si="51"/>
        <v>0</v>
      </c>
      <c r="S129" s="461" t="s">
        <v>8</v>
      </c>
      <c r="T129" s="641"/>
      <c r="U129" s="641"/>
      <c r="V129" s="641"/>
      <c r="W129" s="1186"/>
      <c r="AF129" s="441" t="s">
        <v>8</v>
      </c>
      <c r="AG129" s="445"/>
      <c r="AH129" s="445"/>
      <c r="AI129" s="445"/>
      <c r="AL129" s="441" t="s">
        <v>8</v>
      </c>
      <c r="AM129" s="445"/>
      <c r="AN129" s="445"/>
      <c r="AO129" s="445"/>
    </row>
    <row r="130" spans="1:42">
      <c r="A130" s="442" t="s">
        <v>2</v>
      </c>
      <c r="B130" s="455">
        <f>IF($B$3="yes",H130+T130+Z130+N130,H130+T130+N130)</f>
        <v>754</v>
      </c>
      <c r="C130" s="455">
        <f>IF($B$3="yes",I130+U130+AA130+O130,I130+U130+O130)</f>
        <v>625</v>
      </c>
      <c r="D130" s="455">
        <f>IF($B$3="yes",J130+V130+AB130+P130,J130+V130+P130)</f>
        <v>757</v>
      </c>
      <c r="E130" s="455">
        <f>IF($B$3="yes",K130+W130+AC130+Q130,K130+W130+Q130)</f>
        <v>455</v>
      </c>
      <c r="G130" s="442" t="s">
        <v>2</v>
      </c>
      <c r="H130" s="443">
        <v>754</v>
      </c>
      <c r="I130" s="443">
        <v>625</v>
      </c>
      <c r="J130" s="443">
        <v>757</v>
      </c>
      <c r="K130" s="1187">
        <v>458</v>
      </c>
      <c r="M130" s="442" t="s">
        <v>2</v>
      </c>
      <c r="N130" s="445">
        <f t="shared" si="48"/>
        <v>0</v>
      </c>
      <c r="O130" s="445">
        <f t="shared" si="49"/>
        <v>0</v>
      </c>
      <c r="P130" s="445">
        <f t="shared" si="50"/>
        <v>0</v>
      </c>
      <c r="Q130" s="445">
        <f t="shared" si="51"/>
        <v>-3</v>
      </c>
      <c r="S130" s="463" t="s">
        <v>2</v>
      </c>
      <c r="T130" s="642">
        <v>0</v>
      </c>
      <c r="U130" s="642">
        <v>0</v>
      </c>
      <c r="V130" s="642">
        <v>0</v>
      </c>
      <c r="W130" s="1187">
        <v>0</v>
      </c>
      <c r="AF130" s="442" t="s">
        <v>2</v>
      </c>
      <c r="AG130" s="1775"/>
      <c r="AH130" s="1775"/>
      <c r="AI130" s="1775"/>
      <c r="AL130" s="442" t="s">
        <v>2</v>
      </c>
      <c r="AM130" s="1775">
        <v>0</v>
      </c>
      <c r="AN130" s="1775">
        <v>0</v>
      </c>
      <c r="AO130" s="1775">
        <v>0</v>
      </c>
      <c r="AP130" s="1775">
        <v>-3</v>
      </c>
    </row>
    <row r="131" spans="1:42">
      <c r="A131" s="441" t="s">
        <v>10</v>
      </c>
      <c r="B131" s="455">
        <f t="shared" si="52"/>
        <v>138</v>
      </c>
      <c r="C131" s="455">
        <f t="shared" ref="C131:D135" si="54">I131+U131</f>
        <v>112</v>
      </c>
      <c r="D131" s="455">
        <f t="shared" si="54"/>
        <v>79</v>
      </c>
      <c r="E131" s="455">
        <f t="shared" si="53"/>
        <v>95</v>
      </c>
      <c r="G131" s="441" t="s">
        <v>10</v>
      </c>
      <c r="H131" s="435">
        <v>138</v>
      </c>
      <c r="I131" s="435">
        <v>112</v>
      </c>
      <c r="J131" s="435">
        <v>79</v>
      </c>
      <c r="K131" s="1186">
        <v>95</v>
      </c>
      <c r="M131" s="441" t="s">
        <v>10</v>
      </c>
      <c r="N131" s="445">
        <f t="shared" si="48"/>
        <v>0</v>
      </c>
      <c r="O131" s="445">
        <f t="shared" si="49"/>
        <v>0</v>
      </c>
      <c r="P131" s="445">
        <f t="shared" si="50"/>
        <v>0</v>
      </c>
      <c r="Q131" s="445">
        <f t="shared" si="51"/>
        <v>0</v>
      </c>
      <c r="S131" s="461" t="s">
        <v>10</v>
      </c>
      <c r="T131" s="643"/>
      <c r="U131" s="643"/>
      <c r="V131" s="643"/>
      <c r="W131" s="1188"/>
      <c r="AF131" s="441" t="s">
        <v>10</v>
      </c>
      <c r="AG131" s="445"/>
      <c r="AH131" s="445"/>
      <c r="AI131" s="445"/>
      <c r="AL131" s="441" t="s">
        <v>10</v>
      </c>
      <c r="AM131" s="445"/>
      <c r="AN131" s="445"/>
      <c r="AO131" s="445"/>
    </row>
    <row r="132" spans="1:42">
      <c r="A132" s="441" t="s">
        <v>4</v>
      </c>
      <c r="B132" s="455">
        <f t="shared" si="52"/>
        <v>3226</v>
      </c>
      <c r="C132" s="455">
        <f t="shared" si="54"/>
        <v>3373</v>
      </c>
      <c r="D132" s="455">
        <f t="shared" si="54"/>
        <v>3435</v>
      </c>
      <c r="E132" s="455">
        <f t="shared" si="53"/>
        <v>3144</v>
      </c>
      <c r="G132" s="441" t="s">
        <v>4</v>
      </c>
      <c r="H132" s="435">
        <v>3226</v>
      </c>
      <c r="I132" s="435">
        <v>3376</v>
      </c>
      <c r="J132" s="435">
        <v>3438</v>
      </c>
      <c r="K132" s="1186">
        <v>3147</v>
      </c>
      <c r="M132" s="441" t="s">
        <v>4</v>
      </c>
      <c r="N132" s="445">
        <f t="shared" si="48"/>
        <v>0</v>
      </c>
      <c r="O132" s="445">
        <f t="shared" si="49"/>
        <v>0</v>
      </c>
      <c r="P132" s="445">
        <f t="shared" si="50"/>
        <v>0</v>
      </c>
      <c r="Q132" s="445">
        <f t="shared" si="51"/>
        <v>0</v>
      </c>
      <c r="S132" s="461" t="s">
        <v>4</v>
      </c>
      <c r="T132" s="641">
        <f>-(T127+T130)</f>
        <v>0</v>
      </c>
      <c r="U132" s="641">
        <f>-(U127+U130)</f>
        <v>-3</v>
      </c>
      <c r="V132" s="641">
        <v>-3</v>
      </c>
      <c r="W132" s="1186">
        <v>-3</v>
      </c>
      <c r="AF132" s="441" t="s">
        <v>4</v>
      </c>
      <c r="AG132" s="445"/>
      <c r="AH132" s="445"/>
      <c r="AI132" s="445"/>
      <c r="AL132" s="441" t="s">
        <v>4</v>
      </c>
      <c r="AM132" s="445"/>
      <c r="AN132" s="445"/>
      <c r="AO132" s="445"/>
    </row>
    <row r="133" spans="1:42">
      <c r="A133" s="441" t="s">
        <v>14</v>
      </c>
      <c r="B133" s="455">
        <f t="shared" si="52"/>
        <v>905</v>
      </c>
      <c r="C133" s="455">
        <f t="shared" si="54"/>
        <v>731</v>
      </c>
      <c r="D133" s="455">
        <f t="shared" si="54"/>
        <v>932</v>
      </c>
      <c r="E133" s="455">
        <f t="shared" si="53"/>
        <v>822</v>
      </c>
      <c r="G133" s="441" t="s">
        <v>14</v>
      </c>
      <c r="H133" s="435">
        <v>905</v>
      </c>
      <c r="I133" s="435">
        <v>731</v>
      </c>
      <c r="J133" s="435">
        <v>932</v>
      </c>
      <c r="K133" s="1186">
        <v>822</v>
      </c>
      <c r="M133" s="441" t="s">
        <v>14</v>
      </c>
      <c r="N133" s="445">
        <f t="shared" si="48"/>
        <v>0</v>
      </c>
      <c r="O133" s="445">
        <f t="shared" si="49"/>
        <v>0</v>
      </c>
      <c r="P133" s="445">
        <f t="shared" si="50"/>
        <v>0</v>
      </c>
      <c r="Q133" s="445">
        <f t="shared" si="51"/>
        <v>0</v>
      </c>
      <c r="S133" s="461" t="s">
        <v>14</v>
      </c>
      <c r="T133" s="434"/>
      <c r="U133" s="434"/>
      <c r="V133" s="434"/>
      <c r="W133" s="434"/>
      <c r="AF133" s="441" t="s">
        <v>14</v>
      </c>
      <c r="AG133" s="445"/>
      <c r="AH133" s="445"/>
      <c r="AI133" s="445"/>
      <c r="AL133" s="441" t="s">
        <v>14</v>
      </c>
      <c r="AM133" s="445"/>
      <c r="AN133" s="445"/>
      <c r="AO133" s="445"/>
    </row>
    <row r="134" spans="1:42">
      <c r="A134" s="442" t="s">
        <v>17</v>
      </c>
      <c r="B134" s="455">
        <f t="shared" si="52"/>
        <v>2703</v>
      </c>
      <c r="C134" s="455">
        <f t="shared" si="54"/>
        <v>2567</v>
      </c>
      <c r="D134" s="455">
        <f t="shared" si="54"/>
        <v>1859</v>
      </c>
      <c r="E134" s="455">
        <f t="shared" si="53"/>
        <v>1780</v>
      </c>
      <c r="G134" s="442" t="s">
        <v>17</v>
      </c>
      <c r="H134" s="443">
        <v>2703</v>
      </c>
      <c r="I134" s="443">
        <v>2567</v>
      </c>
      <c r="J134" s="443">
        <v>1859</v>
      </c>
      <c r="K134" s="1187">
        <v>1780</v>
      </c>
      <c r="M134" s="442" t="s">
        <v>17</v>
      </c>
      <c r="N134" s="445">
        <f t="shared" si="48"/>
        <v>0</v>
      </c>
      <c r="O134" s="445">
        <f t="shared" si="49"/>
        <v>0</v>
      </c>
      <c r="P134" s="445">
        <f t="shared" si="50"/>
        <v>0</v>
      </c>
      <c r="Q134" s="445">
        <f t="shared" si="51"/>
        <v>0</v>
      </c>
      <c r="S134" s="463" t="s">
        <v>17</v>
      </c>
      <c r="T134" s="443"/>
      <c r="U134" s="443"/>
      <c r="V134" s="443"/>
      <c r="W134" s="443"/>
      <c r="AF134" s="442" t="s">
        <v>17</v>
      </c>
      <c r="AG134" s="1775"/>
      <c r="AH134" s="1775"/>
      <c r="AI134" s="1775"/>
      <c r="AL134" s="442" t="s">
        <v>17</v>
      </c>
      <c r="AM134" s="1775"/>
      <c r="AN134" s="1775"/>
      <c r="AO134" s="1775"/>
    </row>
    <row r="135" spans="1:42">
      <c r="A135" s="441" t="s">
        <v>316</v>
      </c>
      <c r="B135" s="455">
        <f t="shared" si="52"/>
        <v>706</v>
      </c>
      <c r="C135" s="455">
        <f t="shared" si="54"/>
        <v>753</v>
      </c>
      <c r="D135" s="455">
        <f t="shared" si="54"/>
        <v>864</v>
      </c>
      <c r="E135" s="455">
        <f t="shared" si="53"/>
        <v>915</v>
      </c>
      <c r="G135" s="441" t="s">
        <v>316</v>
      </c>
      <c r="H135" s="435">
        <v>706</v>
      </c>
      <c r="I135" s="435">
        <v>753</v>
      </c>
      <c r="J135" s="435">
        <v>864</v>
      </c>
      <c r="K135" s="1186">
        <v>915</v>
      </c>
      <c r="M135" s="441" t="s">
        <v>316</v>
      </c>
      <c r="N135" s="445">
        <f t="shared" si="48"/>
        <v>0</v>
      </c>
      <c r="O135" s="445">
        <f t="shared" si="49"/>
        <v>0</v>
      </c>
      <c r="P135" s="445">
        <f t="shared" si="50"/>
        <v>0</v>
      </c>
      <c r="Q135" s="445">
        <f t="shared" si="51"/>
        <v>0</v>
      </c>
      <c r="S135" s="461" t="s">
        <v>316</v>
      </c>
      <c r="T135" s="434"/>
      <c r="U135" s="434"/>
      <c r="V135" s="434"/>
      <c r="W135" s="434"/>
      <c r="AF135" s="441" t="s">
        <v>316</v>
      </c>
      <c r="AG135" s="445"/>
      <c r="AH135" s="445"/>
      <c r="AI135" s="445"/>
      <c r="AL135" s="441" t="s">
        <v>316</v>
      </c>
      <c r="AM135" s="445"/>
      <c r="AN135" s="445"/>
      <c r="AO135" s="445"/>
    </row>
    <row r="136" spans="1:42">
      <c r="A136" s="441" t="s">
        <v>7</v>
      </c>
      <c r="B136" s="455">
        <f>IF($B$3="yes",H136+T136+Z136+N136,H136+T136+N136)</f>
        <v>935</v>
      </c>
      <c r="C136" s="455">
        <f>IF($B$3="yes",I136+U136+AA136+O136,I136+U136+O136)</f>
        <v>1042</v>
      </c>
      <c r="D136" s="455">
        <f>IF($B$3="yes",J136+V136+AB136+P136,J136+V136+P136)</f>
        <v>1101</v>
      </c>
      <c r="E136" s="455">
        <f>IF($B$3="yes",K136+W136+AC136+Q136,K136+W136+Q136)</f>
        <v>1022</v>
      </c>
      <c r="G136" s="441" t="s">
        <v>7</v>
      </c>
      <c r="H136" s="435">
        <v>959</v>
      </c>
      <c r="I136" s="435">
        <v>1072</v>
      </c>
      <c r="J136" s="435">
        <v>1138</v>
      </c>
      <c r="K136" s="1186">
        <v>1074</v>
      </c>
      <c r="M136" s="441" t="s">
        <v>7</v>
      </c>
      <c r="N136" s="445">
        <f t="shared" si="48"/>
        <v>-24</v>
      </c>
      <c r="O136" s="445">
        <f t="shared" si="49"/>
        <v>-30</v>
      </c>
      <c r="P136" s="445">
        <f t="shared" si="50"/>
        <v>-37</v>
      </c>
      <c r="Q136" s="445">
        <f t="shared" si="51"/>
        <v>-52</v>
      </c>
      <c r="S136" s="461" t="s">
        <v>7</v>
      </c>
      <c r="T136" s="435"/>
      <c r="U136" s="435"/>
      <c r="V136" s="435"/>
      <c r="W136" s="435"/>
      <c r="AF136" s="441" t="s">
        <v>7</v>
      </c>
      <c r="AG136" s="445"/>
      <c r="AH136" s="445"/>
      <c r="AI136" s="445"/>
      <c r="AL136" s="441" t="s">
        <v>7</v>
      </c>
      <c r="AM136" s="445">
        <v>-24</v>
      </c>
      <c r="AN136" s="445">
        <v>-30</v>
      </c>
      <c r="AO136" s="445">
        <v>-37</v>
      </c>
      <c r="AP136" s="445">
        <v>-52</v>
      </c>
    </row>
    <row r="137" spans="1:42">
      <c r="A137" s="441" t="s">
        <v>514</v>
      </c>
      <c r="B137" s="455">
        <f t="shared" si="52"/>
        <v>513</v>
      </c>
      <c r="C137" s="455">
        <f>I137+U137</f>
        <v>344</v>
      </c>
      <c r="D137" s="455">
        <f>J137+V137</f>
        <v>457</v>
      </c>
      <c r="E137" s="455">
        <f t="shared" si="53"/>
        <v>323</v>
      </c>
      <c r="G137" s="441" t="s">
        <v>514</v>
      </c>
      <c r="H137" s="435">
        <v>513</v>
      </c>
      <c r="I137" s="435">
        <v>344</v>
      </c>
      <c r="J137" s="435">
        <v>457</v>
      </c>
      <c r="K137" s="1186">
        <v>323</v>
      </c>
      <c r="M137" s="441" t="s">
        <v>514</v>
      </c>
      <c r="N137" s="445">
        <f t="shared" si="48"/>
        <v>0</v>
      </c>
      <c r="O137" s="445">
        <f t="shared" si="49"/>
        <v>0</v>
      </c>
      <c r="P137" s="445">
        <f t="shared" si="50"/>
        <v>0</v>
      </c>
      <c r="Q137" s="445">
        <f t="shared" si="51"/>
        <v>0</v>
      </c>
      <c r="S137" s="461" t="s">
        <v>9</v>
      </c>
      <c r="T137" s="435"/>
      <c r="U137" s="435"/>
      <c r="V137" s="435"/>
      <c r="W137" s="435"/>
      <c r="AF137" s="441" t="s">
        <v>514</v>
      </c>
      <c r="AG137" s="445"/>
      <c r="AH137" s="445"/>
      <c r="AI137" s="445"/>
      <c r="AL137" s="441" t="s">
        <v>514</v>
      </c>
      <c r="AM137" s="445"/>
      <c r="AN137" s="445"/>
      <c r="AO137" s="445"/>
    </row>
    <row r="138" spans="1:42">
      <c r="A138" s="442" t="s">
        <v>515</v>
      </c>
      <c r="B138" s="455">
        <f t="shared" si="52"/>
        <v>956</v>
      </c>
      <c r="C138" s="455">
        <f>I138+U138</f>
        <v>982</v>
      </c>
      <c r="D138" s="455">
        <f>J138+V138</f>
        <v>1142</v>
      </c>
      <c r="E138" s="455">
        <f t="shared" si="53"/>
        <v>858</v>
      </c>
      <c r="G138" s="442" t="s">
        <v>515</v>
      </c>
      <c r="H138" s="443">
        <v>956</v>
      </c>
      <c r="I138" s="443">
        <v>982</v>
      </c>
      <c r="J138" s="443">
        <v>1142</v>
      </c>
      <c r="K138" s="1187">
        <v>858</v>
      </c>
      <c r="M138" s="442" t="s">
        <v>515</v>
      </c>
      <c r="N138" s="445">
        <f t="shared" si="48"/>
        <v>0</v>
      </c>
      <c r="O138" s="445">
        <f t="shared" si="49"/>
        <v>0</v>
      </c>
      <c r="P138" s="445">
        <f t="shared" si="50"/>
        <v>0</v>
      </c>
      <c r="Q138" s="445">
        <f t="shared" si="51"/>
        <v>0</v>
      </c>
      <c r="S138" s="463" t="s">
        <v>5</v>
      </c>
      <c r="T138" s="443"/>
      <c r="U138" s="443"/>
      <c r="V138" s="443"/>
      <c r="W138" s="443"/>
      <c r="AF138" s="442" t="s">
        <v>515</v>
      </c>
      <c r="AG138" s="1775"/>
      <c r="AH138" s="1775"/>
      <c r="AI138" s="1775"/>
      <c r="AL138" s="442" t="s">
        <v>515</v>
      </c>
      <c r="AM138" s="1775"/>
      <c r="AN138" s="1775"/>
      <c r="AO138" s="1775"/>
    </row>
    <row r="139" spans="1:42">
      <c r="A139" s="441"/>
      <c r="G139" s="441"/>
      <c r="H139" s="434"/>
      <c r="I139" s="434"/>
      <c r="J139" s="434"/>
      <c r="K139" s="1188"/>
      <c r="M139" s="441"/>
      <c r="N139" s="445"/>
      <c r="O139" s="445"/>
      <c r="P139" s="445"/>
      <c r="AF139" s="441"/>
      <c r="AG139" s="445"/>
      <c r="AH139" s="445"/>
      <c r="AI139" s="445"/>
      <c r="AL139" s="441"/>
      <c r="AM139" s="445"/>
      <c r="AN139" s="445"/>
      <c r="AO139" s="445"/>
    </row>
    <row r="140" spans="1:42">
      <c r="A140" s="441" t="s">
        <v>516</v>
      </c>
      <c r="B140" s="455">
        <f t="shared" ref="B140:D144" si="55">H140+T140</f>
        <v>0</v>
      </c>
      <c r="C140" s="455">
        <f t="shared" si="55"/>
        <v>0</v>
      </c>
      <c r="D140" s="455">
        <f t="shared" si="55"/>
        <v>0</v>
      </c>
      <c r="E140" s="455">
        <f t="shared" ref="E140:E145" si="56">K140+W140+Q140</f>
        <v>0</v>
      </c>
      <c r="G140" s="441" t="s">
        <v>516</v>
      </c>
      <c r="H140" s="434"/>
      <c r="I140" s="434"/>
      <c r="J140" s="434"/>
      <c r="K140" s="1683"/>
      <c r="M140" s="441" t="s">
        <v>516</v>
      </c>
      <c r="N140" s="445"/>
      <c r="O140" s="445"/>
      <c r="P140" s="445"/>
      <c r="S140" s="445" t="s">
        <v>573</v>
      </c>
      <c r="T140" s="455">
        <f>SUM(T34:T138)</f>
        <v>0</v>
      </c>
      <c r="U140" s="455">
        <f>SUM(U34:U138)</f>
        <v>0</v>
      </c>
      <c r="V140" s="455">
        <f>SUM(V34:V138)</f>
        <v>0</v>
      </c>
      <c r="W140" s="455"/>
      <c r="AF140" s="441" t="s">
        <v>516</v>
      </c>
      <c r="AG140" s="445"/>
      <c r="AH140" s="445"/>
      <c r="AI140" s="445"/>
      <c r="AL140" s="441" t="s">
        <v>516</v>
      </c>
      <c r="AM140" s="445"/>
      <c r="AN140" s="445"/>
      <c r="AO140" s="445"/>
    </row>
    <row r="141" spans="1:42">
      <c r="A141" s="441" t="s">
        <v>517</v>
      </c>
      <c r="B141" s="455">
        <f t="shared" si="55"/>
        <v>0</v>
      </c>
      <c r="C141" s="455">
        <f t="shared" si="55"/>
        <v>0</v>
      </c>
      <c r="D141" s="455">
        <f t="shared" si="55"/>
        <v>0</v>
      </c>
      <c r="E141" s="455">
        <f t="shared" si="56"/>
        <v>0</v>
      </c>
      <c r="G141" s="441" t="s">
        <v>517</v>
      </c>
      <c r="H141" s="435"/>
      <c r="I141" s="435"/>
      <c r="J141" s="434"/>
      <c r="K141" s="1683"/>
      <c r="M141" s="441" t="s">
        <v>517</v>
      </c>
      <c r="N141" s="445"/>
      <c r="O141" s="445"/>
      <c r="P141" s="445"/>
      <c r="AF141" s="441" t="s">
        <v>517</v>
      </c>
      <c r="AG141" s="445"/>
      <c r="AH141" s="445"/>
      <c r="AI141" s="445"/>
      <c r="AL141" s="441" t="s">
        <v>517</v>
      </c>
      <c r="AM141" s="445"/>
      <c r="AN141" s="445"/>
      <c r="AO141" s="445"/>
    </row>
    <row r="142" spans="1:42">
      <c r="A142" s="442" t="s">
        <v>518</v>
      </c>
      <c r="B142" s="455">
        <f t="shared" si="55"/>
        <v>0</v>
      </c>
      <c r="C142" s="455">
        <f t="shared" si="55"/>
        <v>0</v>
      </c>
      <c r="D142" s="455">
        <f t="shared" si="55"/>
        <v>0</v>
      </c>
      <c r="E142" s="455">
        <f t="shared" si="56"/>
        <v>0</v>
      </c>
      <c r="G142" s="442" t="s">
        <v>518</v>
      </c>
      <c r="H142" s="443"/>
      <c r="I142" s="443"/>
      <c r="J142" s="444"/>
      <c r="K142" s="1684"/>
      <c r="M142" s="442" t="s">
        <v>518</v>
      </c>
      <c r="N142" s="1775"/>
      <c r="O142" s="1775"/>
      <c r="P142" s="1775"/>
      <c r="AF142" s="442" t="s">
        <v>518</v>
      </c>
      <c r="AG142" s="1775"/>
      <c r="AH142" s="1775"/>
      <c r="AI142" s="1775"/>
      <c r="AL142" s="442" t="s">
        <v>518</v>
      </c>
      <c r="AM142" s="1775"/>
      <c r="AN142" s="1775"/>
      <c r="AO142" s="1775"/>
    </row>
    <row r="143" spans="1:42">
      <c r="A143" s="441" t="s">
        <v>519</v>
      </c>
      <c r="B143" s="455">
        <f t="shared" si="55"/>
        <v>0</v>
      </c>
      <c r="C143" s="455">
        <f t="shared" si="55"/>
        <v>0</v>
      </c>
      <c r="D143" s="455">
        <f t="shared" si="55"/>
        <v>0</v>
      </c>
      <c r="E143" s="455">
        <f t="shared" si="56"/>
        <v>0</v>
      </c>
      <c r="G143" s="441" t="s">
        <v>519</v>
      </c>
      <c r="H143" s="434"/>
      <c r="I143" s="434"/>
      <c r="J143" s="434"/>
      <c r="K143" s="1683"/>
      <c r="M143" s="441" t="s">
        <v>519</v>
      </c>
      <c r="N143" s="445"/>
      <c r="O143" s="445"/>
      <c r="P143" s="445"/>
      <c r="AF143" s="441" t="s">
        <v>519</v>
      </c>
      <c r="AG143" s="445"/>
      <c r="AH143" s="445"/>
      <c r="AI143" s="445"/>
      <c r="AL143" s="441" t="s">
        <v>519</v>
      </c>
      <c r="AM143" s="445"/>
      <c r="AN143" s="445"/>
      <c r="AO143" s="445"/>
    </row>
    <row r="144" spans="1:42">
      <c r="A144" s="445" t="s">
        <v>520</v>
      </c>
      <c r="B144" s="455">
        <f t="shared" si="55"/>
        <v>0</v>
      </c>
      <c r="C144" s="455">
        <f t="shared" si="55"/>
        <v>0</v>
      </c>
      <c r="D144" s="455">
        <f t="shared" si="55"/>
        <v>0</v>
      </c>
      <c r="E144" s="455">
        <f t="shared" si="56"/>
        <v>0</v>
      </c>
      <c r="G144" s="445" t="s">
        <v>520</v>
      </c>
      <c r="H144" s="434"/>
      <c r="I144" s="434"/>
      <c r="J144" s="434"/>
      <c r="K144" s="1683"/>
      <c r="M144" s="445" t="s">
        <v>520</v>
      </c>
      <c r="N144" s="445"/>
      <c r="O144" s="445"/>
      <c r="P144" s="445"/>
      <c r="AF144" s="445" t="s">
        <v>520</v>
      </c>
      <c r="AG144" s="445"/>
      <c r="AH144" s="445"/>
      <c r="AI144" s="445"/>
      <c r="AL144" s="445" t="s">
        <v>520</v>
      </c>
      <c r="AM144" s="445"/>
      <c r="AN144" s="445"/>
      <c r="AO144" s="445"/>
    </row>
    <row r="145" spans="1:42">
      <c r="A145" s="446"/>
      <c r="B145" s="1700">
        <f>SUM(B127:B144)</f>
        <v>12494</v>
      </c>
      <c r="C145" s="1700">
        <f>SUM(C127:C144)</f>
        <v>12284</v>
      </c>
      <c r="D145" s="1700">
        <f>SUM(D127:D144)</f>
        <v>12195</v>
      </c>
      <c r="E145" s="455">
        <f t="shared" si="56"/>
        <v>10904</v>
      </c>
      <c r="F145">
        <v>11700</v>
      </c>
      <c r="G145" s="446"/>
      <c r="H145" s="447">
        <f>SUM(H127:H144)</f>
        <v>13132</v>
      </c>
      <c r="I145" s="447">
        <f>SUM(I127:I144)</f>
        <v>12859</v>
      </c>
      <c r="J145" s="447">
        <f>SUM(J127:J144)</f>
        <v>12466</v>
      </c>
      <c r="K145" s="447">
        <f>SUM(K127:K144)</f>
        <v>11700</v>
      </c>
      <c r="M145" s="446"/>
      <c r="N145" s="1776"/>
      <c r="O145" s="1776"/>
      <c r="P145" s="1776"/>
      <c r="Q145" s="447">
        <f>SUM(Q127:Q144)</f>
        <v>-796</v>
      </c>
      <c r="S145" s="447">
        <f>SUM(S127:S144)</f>
        <v>0</v>
      </c>
      <c r="T145" s="447">
        <f>SUM(T127:T144)</f>
        <v>0</v>
      </c>
      <c r="U145" s="447">
        <f>SUM(U127:U144)</f>
        <v>0</v>
      </c>
      <c r="V145" s="447">
        <f>SUM(V127:V144)</f>
        <v>0</v>
      </c>
      <c r="W145" s="447">
        <f>SUM(W127:W144)</f>
        <v>0</v>
      </c>
      <c r="Y145" s="1678"/>
      <c r="Z145" s="447">
        <f>SUM(Z127:Z144)</f>
        <v>0</v>
      </c>
      <c r="AA145" s="447">
        <f>SUM(AA127:AA144)</f>
        <v>0</v>
      </c>
      <c r="AB145" s="447">
        <f>SUM(AB127:AB144)</f>
        <v>0</v>
      </c>
      <c r="AC145" s="447">
        <f>SUM(AC127:AC144)</f>
        <v>0</v>
      </c>
      <c r="AF145" s="446"/>
      <c r="AG145" s="1776"/>
      <c r="AH145" s="1776"/>
      <c r="AI145" s="1776"/>
      <c r="AJ145" s="447">
        <f>SUM(AJ127:AJ144)</f>
        <v>0</v>
      </c>
      <c r="AL145" s="446"/>
      <c r="AM145" s="1776"/>
      <c r="AN145" s="1776"/>
      <c r="AO145" s="1776"/>
      <c r="AP145" s="447">
        <f>SUM(AP127:AP144)</f>
        <v>-796</v>
      </c>
    </row>
    <row r="146" spans="1:42">
      <c r="A146" s="450" t="s">
        <v>529</v>
      </c>
      <c r="E146" s="455">
        <f>SUM(E127:E144)</f>
        <v>10904</v>
      </c>
      <c r="G146" s="450" t="s">
        <v>529</v>
      </c>
      <c r="H146" s="435">
        <v>46312</v>
      </c>
      <c r="I146" s="435"/>
      <c r="J146" s="435">
        <f>SUM(J127:J144)</f>
        <v>12466</v>
      </c>
      <c r="K146" s="1186">
        <f>SUM(K127:K144)</f>
        <v>11700</v>
      </c>
      <c r="M146" s="450" t="s">
        <v>529</v>
      </c>
      <c r="N146" s="450"/>
      <c r="O146" s="450"/>
      <c r="P146" s="450"/>
      <c r="AF146" s="450" t="s">
        <v>529</v>
      </c>
      <c r="AG146" s="450"/>
      <c r="AH146" s="450"/>
      <c r="AI146" s="450"/>
      <c r="AL146" s="450" t="s">
        <v>529</v>
      </c>
      <c r="AM146" s="450"/>
      <c r="AN146" s="450"/>
      <c r="AO146" s="450"/>
    </row>
    <row r="147" spans="1:42">
      <c r="A147" s="148"/>
      <c r="G147" s="148"/>
      <c r="H147" s="148"/>
      <c r="I147" s="148"/>
      <c r="J147" s="148"/>
      <c r="K147" s="1689"/>
      <c r="M147" s="148"/>
      <c r="N147" s="148"/>
      <c r="O147" s="148"/>
      <c r="P147" s="148"/>
      <c r="AF147" s="148"/>
      <c r="AG147" s="148"/>
      <c r="AH147" s="148"/>
      <c r="AI147" s="148"/>
      <c r="AL147" s="148"/>
      <c r="AM147" s="148"/>
      <c r="AN147" s="148"/>
      <c r="AO147" s="148"/>
    </row>
    <row r="148" spans="1:42">
      <c r="A148" s="158"/>
      <c r="G148" s="158"/>
      <c r="H148" s="436">
        <f>SUM(H145,H122,H100,H96,H75,H52,H30,H9)</f>
        <v>870015</v>
      </c>
      <c r="I148" s="436">
        <f>SUM(I145,I122,I100,I96,I75,I52,I30,I9)</f>
        <v>865525</v>
      </c>
      <c r="J148" s="436">
        <f>SUM(J145,J122,J100,J96,J75,J52,J30,J9)</f>
        <v>850665</v>
      </c>
      <c r="K148" s="436">
        <f>SUM(K145,K122,K100,K96,K75,K52,K30,K9)</f>
        <v>827924</v>
      </c>
      <c r="M148" s="158"/>
      <c r="N148" s="158"/>
      <c r="O148" s="158"/>
      <c r="P148" s="158"/>
      <c r="AF148" s="158"/>
      <c r="AG148" s="158"/>
      <c r="AH148" s="158"/>
      <c r="AI148" s="158"/>
      <c r="AL148" s="158"/>
      <c r="AM148" s="158"/>
      <c r="AN148" s="158"/>
      <c r="AO148" s="158"/>
    </row>
    <row r="149" spans="1:42">
      <c r="A149" s="148"/>
      <c r="G149" s="148"/>
      <c r="H149" s="148"/>
      <c r="I149" s="148"/>
      <c r="J149" s="497"/>
      <c r="K149" s="497"/>
      <c r="M149" s="148"/>
      <c r="N149" s="148"/>
      <c r="O149" s="148"/>
      <c r="P149" s="148"/>
      <c r="AF149" s="148"/>
      <c r="AG149" s="148"/>
      <c r="AH149" s="148"/>
      <c r="AI149" s="148"/>
      <c r="AL149" s="148"/>
      <c r="AM149" s="148"/>
      <c r="AN149" s="148"/>
      <c r="AO149" s="148"/>
    </row>
    <row r="150" spans="1:42">
      <c r="A150" s="148"/>
      <c r="G150" s="148"/>
      <c r="H150" s="148"/>
      <c r="I150" s="148"/>
      <c r="J150" s="148"/>
      <c r="K150" s="148"/>
      <c r="M150" s="148"/>
      <c r="N150" s="148"/>
      <c r="O150" s="148"/>
      <c r="P150" s="148"/>
    </row>
    <row r="151" spans="1:42">
      <c r="A151" s="148" t="s">
        <v>1638</v>
      </c>
      <c r="G151" s="148" t="s">
        <v>1638</v>
      </c>
      <c r="H151" s="416" t="e">
        <f>H148/#REF!-1</f>
        <v>#REF!</v>
      </c>
      <c r="I151" s="416">
        <f>I148/H148-1</f>
        <v>-5.1608305603926263E-3</v>
      </c>
      <c r="J151" s="416">
        <f>J148/I148-1</f>
        <v>-1.7168770399468514E-2</v>
      </c>
      <c r="K151" s="416">
        <f>K148/J148-1</f>
        <v>-2.6733202847184279E-2</v>
      </c>
      <c r="M151" s="148" t="s">
        <v>1638</v>
      </c>
      <c r="N151" s="148"/>
      <c r="O151" s="148"/>
      <c r="P151" s="148"/>
    </row>
    <row r="152" spans="1:42">
      <c r="A152" s="148"/>
      <c r="G152" s="148"/>
      <c r="H152" s="148"/>
      <c r="I152" s="148"/>
      <c r="J152" s="148"/>
      <c r="K152" s="148"/>
      <c r="M152" s="148"/>
      <c r="N152" s="148"/>
      <c r="O152" s="148"/>
      <c r="P152" s="148"/>
    </row>
    <row r="153" spans="1:42">
      <c r="A153" s="148" t="s">
        <v>110</v>
      </c>
      <c r="G153" s="148" t="s">
        <v>110</v>
      </c>
      <c r="H153" s="497">
        <f>SUM(H9,H30,H52,H75,H96,H100)</f>
        <v>736040</v>
      </c>
      <c r="I153" s="497">
        <f>SUM(I9,I30,I52,I75,I96,I100)</f>
        <v>732884</v>
      </c>
      <c r="J153" s="497">
        <f>SUM(J9,J30,J52,J75,J96,J100)</f>
        <v>717528</v>
      </c>
      <c r="K153" s="497">
        <f>SUM(K9,K30,K52,K75,K96,K100)</f>
        <v>696200</v>
      </c>
      <c r="M153" s="148" t="s">
        <v>110</v>
      </c>
      <c r="N153" s="148"/>
      <c r="O153" s="148"/>
      <c r="P153" s="148"/>
    </row>
    <row r="154" spans="1:42">
      <c r="A154" s="148" t="s">
        <v>111</v>
      </c>
      <c r="G154" s="148" t="s">
        <v>111</v>
      </c>
      <c r="H154" s="497">
        <f>SUM(H122,H145)</f>
        <v>133975</v>
      </c>
      <c r="I154" s="497">
        <f>SUM(I122,I145)</f>
        <v>132641</v>
      </c>
      <c r="J154" s="497">
        <f>SUM(J122,J145)</f>
        <v>133137</v>
      </c>
      <c r="K154" s="497">
        <f>SUM(K122,K145)</f>
        <v>131724</v>
      </c>
      <c r="M154" s="148" t="s">
        <v>111</v>
      </c>
      <c r="N154" s="148"/>
      <c r="O154" s="148"/>
      <c r="P154" s="148"/>
    </row>
    <row r="155" spans="1:42">
      <c r="A155" s="148"/>
      <c r="G155" s="148"/>
      <c r="H155" s="497">
        <f>SUM(H153:H154)</f>
        <v>870015</v>
      </c>
      <c r="I155" s="497">
        <f>SUM(I153:I154)</f>
        <v>865525</v>
      </c>
      <c r="J155" s="497">
        <f>SUM(J153:J154)</f>
        <v>850665</v>
      </c>
      <c r="K155" s="497">
        <f>SUM(K153:K154)</f>
        <v>827924</v>
      </c>
      <c r="M155" s="148"/>
      <c r="N155" s="148"/>
      <c r="O155" s="148"/>
      <c r="P155" s="148"/>
    </row>
    <row r="156" spans="1:42">
      <c r="A156" s="148"/>
      <c r="G156" s="148"/>
      <c r="M156" s="148"/>
      <c r="N156" s="148"/>
      <c r="O156" s="148"/>
      <c r="P156" s="148"/>
    </row>
    <row r="157" spans="1:42">
      <c r="A157" s="148"/>
      <c r="G157" s="148"/>
      <c r="H157" s="1672" t="s">
        <v>510</v>
      </c>
      <c r="I157" s="1672">
        <v>2017</v>
      </c>
      <c r="J157" s="1672">
        <v>2018</v>
      </c>
      <c r="K157" s="1672" t="s">
        <v>1635</v>
      </c>
      <c r="M157" s="148"/>
      <c r="N157" s="148"/>
      <c r="O157" s="148"/>
      <c r="P157" s="148"/>
    </row>
    <row r="158" spans="1:42">
      <c r="A158" s="441" t="s">
        <v>513</v>
      </c>
      <c r="G158" s="441" t="s">
        <v>513</v>
      </c>
      <c r="H158" s="497">
        <f t="shared" ref="H158:K169" si="57">SUM(H12,H34,H57,H78,H104,H127)</f>
        <v>47750</v>
      </c>
      <c r="I158" s="497">
        <f t="shared" si="57"/>
        <v>47188</v>
      </c>
      <c r="J158" s="497">
        <f t="shared" si="57"/>
        <v>45069</v>
      </c>
      <c r="K158" s="497">
        <f t="shared" si="57"/>
        <v>43264</v>
      </c>
      <c r="M158" s="441" t="s">
        <v>513</v>
      </c>
      <c r="N158" s="445"/>
      <c r="O158" s="445"/>
      <c r="P158" s="445"/>
    </row>
    <row r="159" spans="1:42">
      <c r="A159" s="441" t="s">
        <v>6</v>
      </c>
      <c r="G159" s="441" t="s">
        <v>6</v>
      </c>
      <c r="H159" s="497">
        <f t="shared" si="57"/>
        <v>79859</v>
      </c>
      <c r="I159" s="497">
        <f t="shared" si="57"/>
        <v>82340</v>
      </c>
      <c r="J159" s="497">
        <f t="shared" si="57"/>
        <v>87215</v>
      </c>
      <c r="K159" s="497">
        <f t="shared" si="57"/>
        <v>91241</v>
      </c>
      <c r="M159" s="441" t="s">
        <v>6</v>
      </c>
      <c r="N159" s="445"/>
      <c r="O159" s="445"/>
      <c r="P159" s="445"/>
    </row>
    <row r="160" spans="1:42">
      <c r="A160" s="441" t="s">
        <v>8</v>
      </c>
      <c r="G160" s="441" t="s">
        <v>8</v>
      </c>
      <c r="H160" s="497">
        <f t="shared" si="57"/>
        <v>7832</v>
      </c>
      <c r="I160" s="497">
        <f t="shared" si="57"/>
        <v>9420</v>
      </c>
      <c r="J160" s="497">
        <f t="shared" si="57"/>
        <v>8860</v>
      </c>
      <c r="K160" s="497">
        <f t="shared" si="57"/>
        <v>7823</v>
      </c>
      <c r="M160" s="441" t="s">
        <v>8</v>
      </c>
      <c r="N160" s="445"/>
      <c r="O160" s="445"/>
      <c r="P160" s="445"/>
    </row>
    <row r="161" spans="1:16">
      <c r="A161" s="442" t="s">
        <v>2</v>
      </c>
      <c r="G161" s="442" t="s">
        <v>2</v>
      </c>
      <c r="H161" s="497">
        <f t="shared" si="57"/>
        <v>14632</v>
      </c>
      <c r="I161" s="497">
        <f t="shared" si="57"/>
        <v>14696</v>
      </c>
      <c r="J161" s="497">
        <f t="shared" si="57"/>
        <v>14338</v>
      </c>
      <c r="K161" s="497">
        <f t="shared" si="57"/>
        <v>13155</v>
      </c>
      <c r="M161" s="442" t="s">
        <v>2</v>
      </c>
      <c r="N161" s="1775"/>
      <c r="O161" s="1775"/>
      <c r="P161" s="1775"/>
    </row>
    <row r="162" spans="1:16">
      <c r="A162" s="441" t="s">
        <v>10</v>
      </c>
      <c r="G162" s="441" t="s">
        <v>10</v>
      </c>
      <c r="H162" s="497">
        <f t="shared" si="57"/>
        <v>19006</v>
      </c>
      <c r="I162" s="497">
        <f t="shared" si="57"/>
        <v>18223</v>
      </c>
      <c r="J162" s="497">
        <f t="shared" si="57"/>
        <v>19218</v>
      </c>
      <c r="K162" s="497">
        <f t="shared" si="57"/>
        <v>19597</v>
      </c>
      <c r="M162" s="441" t="s">
        <v>10</v>
      </c>
      <c r="N162" s="445"/>
      <c r="O162" s="445"/>
      <c r="P162" s="445"/>
    </row>
    <row r="163" spans="1:16">
      <c r="A163" s="441" t="s">
        <v>4</v>
      </c>
      <c r="G163" s="441" t="s">
        <v>4</v>
      </c>
      <c r="H163" s="497">
        <f t="shared" si="57"/>
        <v>219878</v>
      </c>
      <c r="I163" s="497">
        <f t="shared" si="57"/>
        <v>215754</v>
      </c>
      <c r="J163" s="497">
        <f t="shared" si="57"/>
        <v>210448</v>
      </c>
      <c r="K163" s="497">
        <f t="shared" si="57"/>
        <v>203510</v>
      </c>
      <c r="M163" s="441" t="s">
        <v>4</v>
      </c>
      <c r="N163" s="445"/>
      <c r="O163" s="445"/>
      <c r="P163" s="445"/>
    </row>
    <row r="164" spans="1:16">
      <c r="A164" s="441" t="s">
        <v>14</v>
      </c>
      <c r="G164" s="441" t="s">
        <v>14</v>
      </c>
      <c r="H164" s="497">
        <f t="shared" si="57"/>
        <v>3697</v>
      </c>
      <c r="I164" s="497">
        <f t="shared" si="57"/>
        <v>3512</v>
      </c>
      <c r="J164" s="497">
        <f t="shared" si="57"/>
        <v>3707</v>
      </c>
      <c r="K164" s="497">
        <f t="shared" si="57"/>
        <v>3197</v>
      </c>
      <c r="M164" s="441" t="s">
        <v>14</v>
      </c>
      <c r="N164" s="445"/>
      <c r="O164" s="445"/>
      <c r="P164" s="445"/>
    </row>
    <row r="165" spans="1:16">
      <c r="A165" s="442" t="s">
        <v>17</v>
      </c>
      <c r="G165" s="442" t="s">
        <v>17</v>
      </c>
      <c r="H165" s="497">
        <f t="shared" si="57"/>
        <v>190748</v>
      </c>
      <c r="I165" s="497">
        <f t="shared" si="57"/>
        <v>187647</v>
      </c>
      <c r="J165" s="497">
        <f t="shared" si="57"/>
        <v>178343</v>
      </c>
      <c r="K165" s="497">
        <f t="shared" si="57"/>
        <v>166867</v>
      </c>
      <c r="M165" s="442" t="s">
        <v>17</v>
      </c>
      <c r="N165" s="1775"/>
      <c r="O165" s="1775"/>
      <c r="P165" s="1775"/>
    </row>
    <row r="166" spans="1:16">
      <c r="A166" s="441" t="s">
        <v>316</v>
      </c>
      <c r="G166" s="441" t="s">
        <v>316</v>
      </c>
      <c r="H166" s="497">
        <f t="shared" si="57"/>
        <v>12971</v>
      </c>
      <c r="I166" s="497">
        <f t="shared" si="57"/>
        <v>12623</v>
      </c>
      <c r="J166" s="497">
        <f t="shared" si="57"/>
        <v>13988</v>
      </c>
      <c r="K166" s="497">
        <f t="shared" si="57"/>
        <v>15012</v>
      </c>
      <c r="M166" s="441" t="s">
        <v>316</v>
      </c>
      <c r="N166" s="445"/>
      <c r="O166" s="445"/>
      <c r="P166" s="445"/>
    </row>
    <row r="167" spans="1:16">
      <c r="A167" s="441" t="s">
        <v>7</v>
      </c>
      <c r="G167" s="441" t="s">
        <v>7</v>
      </c>
      <c r="H167" s="497">
        <f t="shared" si="57"/>
        <v>143083</v>
      </c>
      <c r="I167" s="497">
        <f t="shared" si="57"/>
        <v>151829</v>
      </c>
      <c r="J167" s="497">
        <f t="shared" si="57"/>
        <v>153561</v>
      </c>
      <c r="K167" s="497">
        <f t="shared" si="57"/>
        <v>156031</v>
      </c>
      <c r="M167" s="441" t="s">
        <v>7</v>
      </c>
      <c r="N167" s="445"/>
      <c r="O167" s="445"/>
      <c r="P167" s="445"/>
    </row>
    <row r="168" spans="1:16">
      <c r="A168" s="441" t="s">
        <v>514</v>
      </c>
      <c r="G168" s="441" t="s">
        <v>514</v>
      </c>
      <c r="H168" s="497">
        <f>SUM(H22,H44,H67,H88,H114,H137,H9)</f>
        <v>86133</v>
      </c>
      <c r="I168" s="497">
        <f>SUM(I22,I44,I67,I88,I114,I137,I9)</f>
        <v>79874</v>
      </c>
      <c r="J168" s="497">
        <f>SUM(J22,J44,J67,J88,J114,J137,J9)</f>
        <v>72677</v>
      </c>
      <c r="K168" s="497">
        <f>SUM(K22,K44,K67,K88,K114,K137,K9)</f>
        <v>65038</v>
      </c>
      <c r="M168" s="441" t="s">
        <v>514</v>
      </c>
      <c r="N168" s="445"/>
      <c r="O168" s="445"/>
      <c r="P168" s="445"/>
    </row>
    <row r="169" spans="1:16">
      <c r="A169" s="442" t="s">
        <v>515</v>
      </c>
      <c r="G169" s="442" t="s">
        <v>515</v>
      </c>
      <c r="H169" s="497">
        <f t="shared" si="57"/>
        <v>25223</v>
      </c>
      <c r="I169" s="497">
        <f t="shared" si="57"/>
        <v>21184</v>
      </c>
      <c r="J169" s="497">
        <f t="shared" si="57"/>
        <v>21309</v>
      </c>
      <c r="K169" s="497">
        <f t="shared" si="57"/>
        <v>21044</v>
      </c>
      <c r="M169" s="442" t="s">
        <v>515</v>
      </c>
      <c r="N169" s="1775"/>
      <c r="O169" s="1775"/>
      <c r="P169" s="1775"/>
    </row>
    <row r="170" spans="1:16">
      <c r="A170" s="148"/>
      <c r="G170" s="148"/>
    </row>
    <row r="171" spans="1:16">
      <c r="A171" s="148"/>
      <c r="G171" s="148"/>
    </row>
    <row r="172" spans="1:16">
      <c r="A172" s="148"/>
      <c r="G172" s="148"/>
    </row>
    <row r="173" spans="1:16">
      <c r="A173" s="148"/>
      <c r="G173" s="148"/>
    </row>
    <row r="174" spans="1:16">
      <c r="A174" s="148"/>
      <c r="G174" s="148"/>
    </row>
    <row r="175" spans="1:16">
      <c r="A175" s="148"/>
      <c r="G175" s="148"/>
    </row>
    <row r="176" spans="1:16">
      <c r="A176" s="148"/>
      <c r="G176" s="148"/>
    </row>
    <row r="177" spans="1:7">
      <c r="A177" s="148"/>
      <c r="G177" s="148"/>
    </row>
    <row r="178" spans="1:7">
      <c r="A178" s="148"/>
      <c r="G178" s="148"/>
    </row>
    <row r="179" spans="1:7">
      <c r="A179" s="148"/>
      <c r="G179" s="148"/>
    </row>
    <row r="180" spans="1:7">
      <c r="A180" s="148"/>
      <c r="G180" s="148"/>
    </row>
    <row r="181" spans="1:7">
      <c r="A181" s="148"/>
      <c r="G181" s="148"/>
    </row>
    <row r="182" spans="1:7">
      <c r="A182" s="148"/>
      <c r="G182" s="148"/>
    </row>
    <row r="183" spans="1:7">
      <c r="A183" s="148"/>
      <c r="G183" s="148"/>
    </row>
    <row r="184" spans="1:7">
      <c r="A184" s="148"/>
      <c r="G184" s="148"/>
    </row>
    <row r="185" spans="1:7">
      <c r="A185" s="148"/>
      <c r="G185" s="148"/>
    </row>
    <row r="186" spans="1:7">
      <c r="A186" s="148"/>
      <c r="G186" s="148"/>
    </row>
    <row r="187" spans="1:7">
      <c r="A187" s="148"/>
      <c r="G187" s="148"/>
    </row>
    <row r="188" spans="1:7">
      <c r="A188" s="148"/>
      <c r="G188" s="148"/>
    </row>
    <row r="189" spans="1:7">
      <c r="A189" s="148"/>
      <c r="G189" s="148"/>
    </row>
    <row r="190" spans="1:7">
      <c r="A190" s="148"/>
      <c r="G190" s="148"/>
    </row>
    <row r="191" spans="1:7">
      <c r="A191" s="148"/>
      <c r="G191" s="148"/>
    </row>
    <row r="192" spans="1:7">
      <c r="A192" s="148"/>
      <c r="G192" s="148"/>
    </row>
    <row r="193" spans="1:7">
      <c r="A193" s="148"/>
      <c r="G193" s="148"/>
    </row>
    <row r="194" spans="1:7">
      <c r="A194" s="148"/>
      <c r="G194" s="148"/>
    </row>
    <row r="195" spans="1:7">
      <c r="A195" s="148"/>
      <c r="G195" s="148"/>
    </row>
    <row r="196" spans="1:7">
      <c r="A196" s="148"/>
      <c r="G196" s="148"/>
    </row>
    <row r="197" spans="1:7">
      <c r="A197" s="148"/>
      <c r="G197" s="148"/>
    </row>
    <row r="198" spans="1:7">
      <c r="A198" s="148"/>
      <c r="G198" s="148"/>
    </row>
    <row r="199" spans="1:7">
      <c r="A199" s="148"/>
      <c r="G199" s="148"/>
    </row>
    <row r="200" spans="1:7">
      <c r="A200" s="148"/>
      <c r="G200" s="148"/>
    </row>
    <row r="201" spans="1:7">
      <c r="A201" s="148"/>
      <c r="G201" s="148"/>
    </row>
    <row r="202" spans="1:7">
      <c r="A202" s="148"/>
      <c r="G202" s="148"/>
    </row>
    <row r="203" spans="1:7">
      <c r="A203" s="148"/>
      <c r="G203" s="148"/>
    </row>
    <row r="204" spans="1:7">
      <c r="A204" s="148"/>
      <c r="G204" s="148"/>
    </row>
    <row r="205" spans="1:7">
      <c r="A205" s="148"/>
      <c r="G205" s="148"/>
    </row>
    <row r="206" spans="1:7">
      <c r="A206" s="148"/>
      <c r="G206" s="148"/>
    </row>
    <row r="207" spans="1:7">
      <c r="A207" s="148"/>
      <c r="G207" s="148"/>
    </row>
    <row r="208" spans="1:7">
      <c r="A208" s="148"/>
      <c r="G208" s="148"/>
    </row>
  </sheetData>
  <pageMargins left="0.7" right="0.7" top="0.75" bottom="0.75" header="0.3" footer="0.3"/>
  <pageSetup paperSize="5" scale="6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112"/>
  <sheetViews>
    <sheetView workbookViewId="0">
      <selection activeCell="D2" sqref="D2"/>
    </sheetView>
  </sheetViews>
  <sheetFormatPr defaultColWidth="11" defaultRowHeight="15.75"/>
  <cols>
    <col min="1" max="1" width="19.375" customWidth="1"/>
    <col min="23" max="23" width="36.625" customWidth="1"/>
    <col min="34" max="34" width="19.875" customWidth="1"/>
  </cols>
  <sheetData>
    <row r="1" spans="1:28" ht="16.5" thickBot="1">
      <c r="A1" s="1783" t="s">
        <v>1755</v>
      </c>
      <c r="B1" s="589" t="s">
        <v>176</v>
      </c>
      <c r="C1" s="1783" t="s">
        <v>1756</v>
      </c>
      <c r="D1" s="589" t="s">
        <v>176</v>
      </c>
      <c r="W1" t="s">
        <v>256</v>
      </c>
    </row>
    <row r="3" spans="1:28">
      <c r="A3" t="s">
        <v>1754</v>
      </c>
      <c r="H3" t="s">
        <v>1761</v>
      </c>
      <c r="W3" t="s">
        <v>964</v>
      </c>
    </row>
    <row r="4" spans="1:28">
      <c r="H4" t="s">
        <v>1757</v>
      </c>
      <c r="O4" t="s">
        <v>1757</v>
      </c>
    </row>
    <row r="5" spans="1:28">
      <c r="A5" s="10" t="s">
        <v>965</v>
      </c>
      <c r="B5" s="380"/>
      <c r="C5" s="380"/>
      <c r="D5" s="380"/>
      <c r="E5" s="380"/>
      <c r="F5" s="380"/>
      <c r="H5" s="1784"/>
      <c r="O5" s="1784"/>
      <c r="W5" s="10" t="s">
        <v>965</v>
      </c>
      <c r="X5" s="380"/>
      <c r="Y5" s="380"/>
      <c r="Z5" s="380"/>
      <c r="AA5" s="380"/>
      <c r="AB5" s="380"/>
    </row>
    <row r="6" spans="1:28" ht="31.5">
      <c r="A6" s="459"/>
      <c r="B6" s="956" t="s">
        <v>808</v>
      </c>
      <c r="C6" s="956" t="s">
        <v>751</v>
      </c>
      <c r="D6" s="956" t="s">
        <v>809</v>
      </c>
      <c r="E6" s="956" t="s">
        <v>810</v>
      </c>
      <c r="F6" s="957" t="s">
        <v>709</v>
      </c>
      <c r="H6" s="1785"/>
      <c r="I6" s="1786" t="s">
        <v>808</v>
      </c>
      <c r="J6" s="1786" t="s">
        <v>751</v>
      </c>
      <c r="K6" s="1786" t="s">
        <v>809</v>
      </c>
      <c r="L6" s="1786" t="s">
        <v>810</v>
      </c>
      <c r="M6" s="1787" t="s">
        <v>709</v>
      </c>
      <c r="O6" s="1785"/>
      <c r="P6" s="1786" t="s">
        <v>808</v>
      </c>
      <c r="Q6" s="1786" t="s">
        <v>751</v>
      </c>
      <c r="R6" s="1786" t="s">
        <v>809</v>
      </c>
      <c r="S6" s="1786" t="s">
        <v>810</v>
      </c>
      <c r="T6" s="1787" t="s">
        <v>709</v>
      </c>
      <c r="W6" s="459"/>
      <c r="X6" s="956" t="s">
        <v>808</v>
      </c>
      <c r="Y6" s="956" t="s">
        <v>751</v>
      </c>
      <c r="Z6" s="956" t="s">
        <v>809</v>
      </c>
      <c r="AA6" s="956" t="s">
        <v>810</v>
      </c>
      <c r="AB6" s="957" t="s">
        <v>709</v>
      </c>
    </row>
    <row r="7" spans="1:28">
      <c r="A7" s="960" t="s">
        <v>513</v>
      </c>
      <c r="B7" s="958">
        <f>IF($D$1="yes",I7,IF($B$1="yes",P7,X7))</f>
        <v>0.73998173037856396</v>
      </c>
      <c r="C7" s="958">
        <f t="shared" ref="C7:C18" si="0">IF($D$1="yes",J7,IF($B$1="yes",Q7,Y7))</f>
        <v>1.4284719010994193</v>
      </c>
      <c r="D7" s="958">
        <f t="shared" ref="D7:D18" si="1">IF($D$1="yes",K7,IF($B$1="yes",R7,Z7))</f>
        <v>2.9940236651900212</v>
      </c>
      <c r="E7" s="958">
        <f t="shared" ref="E7:E18" si="2">IF($D$1="yes",L7,IF($B$1="yes",S7,AA7))</f>
        <v>3.0615572354211658</v>
      </c>
      <c r="F7" s="958">
        <f t="shared" ref="F7:F18" si="3">IF($D$1="yes",M7,IF($B$1="yes",T7,AB7))</f>
        <v>0</v>
      </c>
      <c r="H7" s="461" t="s">
        <v>513</v>
      </c>
      <c r="I7" s="966">
        <v>0.73998173037856396</v>
      </c>
      <c r="J7" s="966">
        <v>1.4284719010994193</v>
      </c>
      <c r="K7" s="966">
        <v>2.9940236651900212</v>
      </c>
      <c r="L7" s="966">
        <v>3.0615572354211658</v>
      </c>
      <c r="O7" s="461" t="s">
        <v>513</v>
      </c>
      <c r="P7" s="966">
        <v>0.73998173037856396</v>
      </c>
      <c r="Q7" s="966">
        <v>1.4284719010994193</v>
      </c>
      <c r="R7" s="966">
        <v>2.9940236651900212</v>
      </c>
      <c r="S7" s="966">
        <v>3.0615572354211658</v>
      </c>
      <c r="W7" s="960" t="s">
        <v>513</v>
      </c>
      <c r="X7" s="958">
        <v>0.73825523572651897</v>
      </c>
      <c r="Y7" s="958">
        <v>1.3814582627890051</v>
      </c>
      <c r="Z7" s="958">
        <v>2.729632612875367</v>
      </c>
      <c r="AA7" s="958">
        <v>2.9165348264629047</v>
      </c>
      <c r="AB7" s="958"/>
    </row>
    <row r="8" spans="1:28">
      <c r="A8" s="960" t="s">
        <v>6</v>
      </c>
      <c r="B8" s="958">
        <f t="shared" ref="B8:B18" si="4">IF($D$1="yes",I8,IF($B$1="yes",P8,X8))</f>
        <v>0.6243257014939112</v>
      </c>
      <c r="C8" s="958">
        <f t="shared" si="0"/>
        <v>1.0336138423339543</v>
      </c>
      <c r="D8" s="958">
        <f t="shared" si="1"/>
        <v>1.6370418041804178</v>
      </c>
      <c r="E8" s="958">
        <f t="shared" si="2"/>
        <v>4.7633933333333323</v>
      </c>
      <c r="F8" s="958">
        <f t="shared" si="3"/>
        <v>0</v>
      </c>
      <c r="H8" s="461" t="s">
        <v>6</v>
      </c>
      <c r="I8" s="966">
        <v>0.6243257014939112</v>
      </c>
      <c r="J8" s="966">
        <v>1.0336138423339543</v>
      </c>
      <c r="K8" s="966">
        <v>1.6370418041804178</v>
      </c>
      <c r="L8" s="966">
        <v>4.7633933333333323</v>
      </c>
      <c r="O8" s="461" t="s">
        <v>6</v>
      </c>
      <c r="P8" s="966">
        <v>0.6243257014939112</v>
      </c>
      <c r="Q8" s="966">
        <v>1.0336138423339543</v>
      </c>
      <c r="R8" s="966">
        <v>1.6370418041804178</v>
      </c>
      <c r="S8" s="966">
        <v>4.7633933333333323</v>
      </c>
      <c r="W8" s="960" t="s">
        <v>6</v>
      </c>
      <c r="X8" s="958">
        <v>0.61576638800854122</v>
      </c>
      <c r="Y8" s="958">
        <v>0.92029535976171861</v>
      </c>
      <c r="Z8" s="958">
        <v>1.7073273464509895</v>
      </c>
      <c r="AA8" s="958">
        <v>4.1733890097133033</v>
      </c>
      <c r="AB8" s="958"/>
    </row>
    <row r="9" spans="1:28">
      <c r="A9" s="960" t="s">
        <v>8</v>
      </c>
      <c r="B9" s="958">
        <f t="shared" si="4"/>
        <v>0.78234378161025708</v>
      </c>
      <c r="C9" s="958">
        <f t="shared" si="0"/>
        <v>0.93500000000000005</v>
      </c>
      <c r="D9" s="958">
        <f t="shared" si="1"/>
        <v>1.46</v>
      </c>
      <c r="E9" s="958">
        <f t="shared" si="2"/>
        <v>2.5490000000000004</v>
      </c>
      <c r="F9" s="958">
        <f t="shared" si="3"/>
        <v>0</v>
      </c>
      <c r="H9" s="461" t="s">
        <v>8</v>
      </c>
      <c r="I9" s="966">
        <v>0.78234378161025708</v>
      </c>
      <c r="J9" s="966">
        <v>0.93500000000000005</v>
      </c>
      <c r="K9" s="966">
        <v>1.46</v>
      </c>
      <c r="L9" s="966">
        <v>2.5490000000000004</v>
      </c>
      <c r="O9" s="461" t="s">
        <v>8</v>
      </c>
      <c r="P9" s="966">
        <v>0.78234378161025708</v>
      </c>
      <c r="Q9" s="966">
        <v>0.93500000000000005</v>
      </c>
      <c r="R9" s="966">
        <v>1.46</v>
      </c>
      <c r="S9" s="966">
        <v>2.5490000000000004</v>
      </c>
      <c r="W9" s="960" t="s">
        <v>8</v>
      </c>
      <c r="X9" s="958">
        <v>0.78234378161025708</v>
      </c>
      <c r="Y9" s="958">
        <v>0.93742665362039157</v>
      </c>
      <c r="Z9" s="958">
        <v>1.4597833437439227</v>
      </c>
      <c r="AA9" s="958">
        <v>2.5274364485170504</v>
      </c>
      <c r="AB9" s="958"/>
    </row>
    <row r="10" spans="1:28">
      <c r="A10" s="961" t="s">
        <v>2</v>
      </c>
      <c r="B10" s="958">
        <f t="shared" si="4"/>
        <v>0.72755601656757785</v>
      </c>
      <c r="C10" s="958">
        <f t="shared" si="0"/>
        <v>1.4279999999999999</v>
      </c>
      <c r="D10" s="958">
        <f t="shared" si="1"/>
        <v>2.7650000000000006</v>
      </c>
      <c r="E10" s="958">
        <f t="shared" si="2"/>
        <v>2.5489999999999999</v>
      </c>
      <c r="F10" s="958">
        <f t="shared" si="3"/>
        <v>0</v>
      </c>
      <c r="H10" s="463" t="s">
        <v>2</v>
      </c>
      <c r="I10" s="966">
        <v>0.72755601656757785</v>
      </c>
      <c r="J10" s="1788">
        <v>1.4279999999999999</v>
      </c>
      <c r="K10" s="966">
        <v>2.7650000000000006</v>
      </c>
      <c r="L10" s="966">
        <v>2.5489999999999999</v>
      </c>
      <c r="O10" s="463" t="s">
        <v>2</v>
      </c>
      <c r="P10" s="966">
        <v>0.72755601656757785</v>
      </c>
      <c r="Q10" s="1788">
        <v>1.4279999999999999</v>
      </c>
      <c r="R10" s="966">
        <v>2.7650000000000006</v>
      </c>
      <c r="S10" s="966">
        <v>2.5489999999999999</v>
      </c>
      <c r="W10" s="961" t="s">
        <v>2</v>
      </c>
      <c r="X10" s="1088">
        <v>0.68615868064819785</v>
      </c>
      <c r="Y10" s="1140">
        <v>1.3839999999999999</v>
      </c>
      <c r="Z10" s="1088">
        <v>2.5215181068519161</v>
      </c>
      <c r="AA10" s="1088">
        <v>2.5357100841546707</v>
      </c>
      <c r="AB10" s="1088"/>
    </row>
    <row r="11" spans="1:28">
      <c r="A11" s="960" t="s">
        <v>1082</v>
      </c>
      <c r="B11" s="958">
        <f t="shared" si="4"/>
        <v>0</v>
      </c>
      <c r="C11" s="958">
        <f t="shared" si="0"/>
        <v>0</v>
      </c>
      <c r="D11" s="958">
        <f t="shared" si="1"/>
        <v>2.2839999999999998</v>
      </c>
      <c r="E11" s="958">
        <f t="shared" si="2"/>
        <v>2.976</v>
      </c>
      <c r="F11" s="958">
        <f t="shared" si="3"/>
        <v>9.4342542433612468</v>
      </c>
      <c r="H11" s="461" t="s">
        <v>10</v>
      </c>
      <c r="I11" s="966"/>
      <c r="J11" s="966"/>
      <c r="K11" s="966">
        <v>2.2839999999999998</v>
      </c>
      <c r="L11" s="966">
        <v>2.976</v>
      </c>
      <c r="M11" s="1789">
        <v>9.4342542433612468</v>
      </c>
      <c r="O11" s="461" t="s">
        <v>10</v>
      </c>
      <c r="P11" s="966"/>
      <c r="Q11" s="966"/>
      <c r="R11" s="966">
        <v>2.2839999999999998</v>
      </c>
      <c r="S11" s="966">
        <v>2.976</v>
      </c>
      <c r="T11" s="1789">
        <v>9.4342542433612468</v>
      </c>
      <c r="W11" s="960" t="s">
        <v>1082</v>
      </c>
      <c r="X11" s="958"/>
      <c r="Y11" s="958"/>
      <c r="Z11" s="958">
        <v>5.8710151352874629</v>
      </c>
      <c r="AA11" s="958">
        <v>3.1256203051170219</v>
      </c>
      <c r="AB11" s="1140">
        <v>8.2690000000000001</v>
      </c>
    </row>
    <row r="12" spans="1:28">
      <c r="A12" s="960" t="s">
        <v>4</v>
      </c>
      <c r="B12" s="958">
        <f t="shared" si="4"/>
        <v>0.78002646834903766</v>
      </c>
      <c r="C12" s="958">
        <f t="shared" si="0"/>
        <v>1.1521434672740865</v>
      </c>
      <c r="D12" s="958">
        <f t="shared" si="1"/>
        <v>2.6349949799196795</v>
      </c>
      <c r="E12" s="958">
        <f t="shared" si="2"/>
        <v>2.976</v>
      </c>
      <c r="F12" s="958">
        <f t="shared" si="3"/>
        <v>0</v>
      </c>
      <c r="H12" s="461" t="s">
        <v>4</v>
      </c>
      <c r="I12" s="966">
        <v>0.78002646834903766</v>
      </c>
      <c r="J12" s="966">
        <v>1.1521434672740865</v>
      </c>
      <c r="K12" s="966">
        <v>2.6349949799196795</v>
      </c>
      <c r="L12" s="966">
        <v>2.976</v>
      </c>
      <c r="O12" s="461" t="s">
        <v>4</v>
      </c>
      <c r="P12" s="966">
        <v>0.78002646834903766</v>
      </c>
      <c r="Q12" s="966">
        <v>1.1521434672740865</v>
      </c>
      <c r="R12" s="966">
        <v>2.6349949799196795</v>
      </c>
      <c r="S12" s="966">
        <v>2.976</v>
      </c>
      <c r="W12" s="960" t="s">
        <v>4</v>
      </c>
      <c r="X12" s="958">
        <v>0.7842708946636604</v>
      </c>
      <c r="Y12" s="958">
        <v>1.1402031631853178</v>
      </c>
      <c r="Z12" s="958">
        <v>2.5189298202715129</v>
      </c>
      <c r="AA12" s="958">
        <v>2.9906187797930048</v>
      </c>
      <c r="AB12" s="958"/>
    </row>
    <row r="13" spans="1:28">
      <c r="A13" s="960" t="s">
        <v>14</v>
      </c>
      <c r="B13" s="958">
        <f t="shared" si="4"/>
        <v>0</v>
      </c>
      <c r="C13" s="958">
        <f t="shared" si="0"/>
        <v>0</v>
      </c>
      <c r="D13" s="958">
        <f t="shared" si="1"/>
        <v>2.6911358936484491</v>
      </c>
      <c r="E13" s="958">
        <f t="shared" si="2"/>
        <v>2.8712987164527424</v>
      </c>
      <c r="F13" s="958">
        <f t="shared" si="3"/>
        <v>0</v>
      </c>
      <c r="H13" s="461" t="s">
        <v>14</v>
      </c>
      <c r="I13" s="966"/>
      <c r="J13" s="966"/>
      <c r="K13" s="966">
        <v>2.6911358936484491</v>
      </c>
      <c r="L13" s="966">
        <v>2.8712987164527424</v>
      </c>
      <c r="O13" s="461" t="s">
        <v>14</v>
      </c>
      <c r="P13" s="966"/>
      <c r="Q13" s="966"/>
      <c r="R13" s="966">
        <v>2.6911358936484491</v>
      </c>
      <c r="S13" s="966">
        <v>2.8712987164527424</v>
      </c>
      <c r="W13" s="960" t="s">
        <v>14</v>
      </c>
      <c r="X13" s="958"/>
      <c r="Y13" s="958"/>
      <c r="Z13" s="958">
        <v>2.6585575928061984</v>
      </c>
      <c r="AA13" s="958">
        <v>2.8753859676822429</v>
      </c>
      <c r="AB13" s="958"/>
    </row>
    <row r="14" spans="1:28">
      <c r="A14" s="961" t="s">
        <v>17</v>
      </c>
      <c r="B14" s="958">
        <f t="shared" si="4"/>
        <v>0.62171653344405653</v>
      </c>
      <c r="C14" s="958">
        <f t="shared" si="0"/>
        <v>0.95550908246379429</v>
      </c>
      <c r="D14" s="958">
        <f t="shared" si="1"/>
        <v>2.0860803827751191</v>
      </c>
      <c r="E14" s="958">
        <f t="shared" si="2"/>
        <v>3.2494553686934022</v>
      </c>
      <c r="F14" s="958">
        <f t="shared" si="3"/>
        <v>0</v>
      </c>
      <c r="H14" s="463" t="s">
        <v>17</v>
      </c>
      <c r="I14" s="966">
        <v>0.62171653344405653</v>
      </c>
      <c r="J14" s="966">
        <v>0.95550908246379429</v>
      </c>
      <c r="K14" s="966">
        <v>2.0860803827751191</v>
      </c>
      <c r="L14" s="966">
        <v>3.2494553686934022</v>
      </c>
      <c r="O14" s="463" t="s">
        <v>17</v>
      </c>
      <c r="P14" s="966">
        <v>0.62171653344405653</v>
      </c>
      <c r="Q14" s="966">
        <v>0.95550908246379429</v>
      </c>
      <c r="R14" s="966">
        <v>2.0860803827751191</v>
      </c>
      <c r="S14" s="966">
        <v>3.2494553686934022</v>
      </c>
      <c r="W14" s="961" t="s">
        <v>17</v>
      </c>
      <c r="X14" s="1088">
        <v>0.62524737129045094</v>
      </c>
      <c r="Y14" s="1088">
        <v>0.9661071118879152</v>
      </c>
      <c r="Z14" s="1088">
        <v>2.0712334710740294</v>
      </c>
      <c r="AA14" s="1088">
        <v>3.1926454095378611</v>
      </c>
      <c r="AB14" s="1088"/>
    </row>
    <row r="15" spans="1:28">
      <c r="A15" s="960" t="s">
        <v>1083</v>
      </c>
      <c r="B15" s="958">
        <f t="shared" si="4"/>
        <v>0</v>
      </c>
      <c r="C15" s="958">
        <f t="shared" si="0"/>
        <v>0</v>
      </c>
      <c r="D15" s="958">
        <f t="shared" si="1"/>
        <v>2.2839999999999998</v>
      </c>
      <c r="E15" s="958">
        <f t="shared" si="2"/>
        <v>0</v>
      </c>
      <c r="F15" s="958">
        <f t="shared" si="3"/>
        <v>14.151</v>
      </c>
      <c r="H15" s="461" t="s">
        <v>316</v>
      </c>
      <c r="I15" s="966"/>
      <c r="J15" s="966"/>
      <c r="K15" s="966">
        <v>2.2839999999999998</v>
      </c>
      <c r="M15" s="966">
        <v>14.151</v>
      </c>
      <c r="O15" s="461" t="s">
        <v>316</v>
      </c>
      <c r="P15" s="966"/>
      <c r="Q15" s="966"/>
      <c r="R15" s="966">
        <v>2.2839999999999998</v>
      </c>
      <c r="T15" s="966">
        <v>14.151</v>
      </c>
      <c r="W15" s="960" t="s">
        <v>1083</v>
      </c>
      <c r="X15" s="958"/>
      <c r="Y15" s="958"/>
      <c r="Z15" s="958">
        <v>2.3077760272136798</v>
      </c>
      <c r="AA15" s="958">
        <v>0</v>
      </c>
      <c r="AB15" s="1140">
        <v>12.77</v>
      </c>
    </row>
    <row r="16" spans="1:28">
      <c r="A16" s="960" t="s">
        <v>7</v>
      </c>
      <c r="B16" s="958">
        <f t="shared" si="4"/>
        <v>0.89997653137823164</v>
      </c>
      <c r="C16" s="958">
        <f t="shared" si="0"/>
        <v>1.3870545339251739</v>
      </c>
      <c r="D16" s="958">
        <f t="shared" si="1"/>
        <v>2.5786363770904241</v>
      </c>
      <c r="E16" s="958">
        <f t="shared" si="2"/>
        <v>2.9760000000000009</v>
      </c>
      <c r="F16" s="958">
        <f t="shared" si="3"/>
        <v>0</v>
      </c>
      <c r="H16" s="461" t="s">
        <v>7</v>
      </c>
      <c r="I16" s="966">
        <v>0.89997653137823164</v>
      </c>
      <c r="J16" s="966">
        <v>1.3870545339251739</v>
      </c>
      <c r="K16" s="966">
        <v>2.5786363770904241</v>
      </c>
      <c r="L16" s="966">
        <v>2.9760000000000009</v>
      </c>
      <c r="O16" s="461" t="s">
        <v>7</v>
      </c>
      <c r="P16" s="966">
        <v>0.89997653137823164</v>
      </c>
      <c r="Q16" s="966">
        <v>1.3870545339251739</v>
      </c>
      <c r="R16" s="966">
        <v>2.5786363770904241</v>
      </c>
      <c r="S16" s="966">
        <v>2.9760000000000009</v>
      </c>
      <c r="W16" s="960" t="s">
        <v>7</v>
      </c>
      <c r="X16" s="958">
        <v>0.92433615746192432</v>
      </c>
      <c r="Y16" s="1140">
        <v>1.3839999999999999</v>
      </c>
      <c r="Z16" s="958">
        <v>2.5832720468437356</v>
      </c>
      <c r="AA16" s="958">
        <v>3.0883153658922646</v>
      </c>
      <c r="AB16" s="958"/>
    </row>
    <row r="17" spans="1:28">
      <c r="A17" s="960" t="s">
        <v>9</v>
      </c>
      <c r="B17" s="958">
        <f t="shared" si="4"/>
        <v>0.65339697659263052</v>
      </c>
      <c r="C17" s="958">
        <f t="shared" si="0"/>
        <v>0.95123990151385873</v>
      </c>
      <c r="D17" s="958">
        <f t="shared" si="1"/>
        <v>2.3896966800804829</v>
      </c>
      <c r="E17" s="958">
        <f t="shared" si="2"/>
        <v>2.9686188418323249</v>
      </c>
      <c r="F17" s="958">
        <f t="shared" si="3"/>
        <v>0</v>
      </c>
      <c r="H17" s="461" t="s">
        <v>9</v>
      </c>
      <c r="I17" s="966">
        <v>0.65339697659263052</v>
      </c>
      <c r="J17" s="966">
        <v>0.95123990151385873</v>
      </c>
      <c r="K17" s="966">
        <v>2.3896966800804829</v>
      </c>
      <c r="L17" s="966">
        <v>2.9686188418323249</v>
      </c>
      <c r="O17" s="461" t="s">
        <v>9</v>
      </c>
      <c r="P17" s="966">
        <v>0.6037563099822868</v>
      </c>
      <c r="Q17" s="966">
        <v>0.8381319811803708</v>
      </c>
      <c r="R17" s="966">
        <v>2.3192552816901411</v>
      </c>
      <c r="S17" s="966">
        <v>2.9010812445980987</v>
      </c>
      <c r="W17" s="960" t="s">
        <v>9</v>
      </c>
      <c r="X17" s="958">
        <v>0.60760924440702391</v>
      </c>
      <c r="Y17" s="958">
        <v>0.88220300342126901</v>
      </c>
      <c r="Z17" s="958">
        <v>2.2323857203999244</v>
      </c>
      <c r="AA17" s="958">
        <v>3.0089142683525476</v>
      </c>
      <c r="AB17" s="958"/>
    </row>
    <row r="18" spans="1:28">
      <c r="A18" s="961" t="s">
        <v>5</v>
      </c>
      <c r="B18" s="958">
        <f t="shared" si="4"/>
        <v>0.65821180776420729</v>
      </c>
      <c r="C18" s="958">
        <f t="shared" si="0"/>
        <v>1.4161844073190133</v>
      </c>
      <c r="D18" s="958">
        <f t="shared" si="1"/>
        <v>2.907463203463204</v>
      </c>
      <c r="E18" s="958">
        <f t="shared" si="2"/>
        <v>2.9704545454545457</v>
      </c>
      <c r="F18" s="958">
        <f t="shared" si="3"/>
        <v>0</v>
      </c>
      <c r="H18" s="463" t="s">
        <v>5</v>
      </c>
      <c r="I18" s="966">
        <v>0.65821180776420729</v>
      </c>
      <c r="J18" s="966">
        <v>1.4161844073190133</v>
      </c>
      <c r="K18" s="966">
        <v>2.907463203463204</v>
      </c>
      <c r="L18" s="966">
        <v>2.9704545454545457</v>
      </c>
      <c r="O18" s="463" t="s">
        <v>5</v>
      </c>
      <c r="P18" s="966">
        <v>0.65821180776420729</v>
      </c>
      <c r="Q18" s="966">
        <v>1.4161844073190133</v>
      </c>
      <c r="R18" s="966">
        <v>2.907463203463204</v>
      </c>
      <c r="S18" s="966">
        <v>2.9704545454545457</v>
      </c>
      <c r="W18" s="961" t="s">
        <v>5</v>
      </c>
      <c r="X18" s="1088">
        <v>0.68584674669160639</v>
      </c>
      <c r="Y18" s="1140">
        <v>1.3843882959939655</v>
      </c>
      <c r="Z18" s="1088">
        <v>2.768615670287919</v>
      </c>
      <c r="AA18" s="1088">
        <v>2.9612257167589449</v>
      </c>
      <c r="AB18" s="1088"/>
    </row>
    <row r="19" spans="1:28">
      <c r="A19" s="960"/>
      <c r="B19" s="958"/>
      <c r="C19" s="958"/>
      <c r="D19" s="958"/>
      <c r="E19" s="958"/>
      <c r="F19" s="958"/>
      <c r="W19" s="960"/>
      <c r="X19" s="958"/>
      <c r="Y19" s="958"/>
      <c r="Z19" s="958"/>
      <c r="AA19" s="958"/>
      <c r="AB19" s="958"/>
    </row>
    <row r="20" spans="1:28">
      <c r="A20" s="960" t="s">
        <v>516</v>
      </c>
      <c r="B20" s="958">
        <f t="shared" ref="B20:F24" si="5">IF($D$1="yes",I20,IF($B$1="yes",P20,X20))</f>
        <v>0</v>
      </c>
      <c r="C20" s="958">
        <f t="shared" si="5"/>
        <v>0</v>
      </c>
      <c r="D20" s="958">
        <f t="shared" si="5"/>
        <v>0</v>
      </c>
      <c r="E20" s="958">
        <f t="shared" si="5"/>
        <v>0</v>
      </c>
      <c r="F20" s="958">
        <f t="shared" si="5"/>
        <v>0</v>
      </c>
      <c r="H20" s="461" t="s">
        <v>516</v>
      </c>
      <c r="O20" s="461" t="s">
        <v>516</v>
      </c>
      <c r="W20" s="960" t="s">
        <v>516</v>
      </c>
      <c r="X20" s="958"/>
      <c r="Y20" s="958"/>
      <c r="Z20" s="958"/>
      <c r="AA20" s="958"/>
      <c r="AB20" s="958"/>
    </row>
    <row r="21" spans="1:28">
      <c r="A21" s="960" t="s">
        <v>537</v>
      </c>
      <c r="B21" s="958">
        <f t="shared" si="5"/>
        <v>0.84799999999999998</v>
      </c>
      <c r="C21" s="958">
        <f t="shared" si="5"/>
        <v>1.232</v>
      </c>
      <c r="D21" s="958">
        <f t="shared" si="5"/>
        <v>0</v>
      </c>
      <c r="E21" s="958">
        <f t="shared" si="5"/>
        <v>0</v>
      </c>
      <c r="F21" s="958">
        <f t="shared" si="5"/>
        <v>0</v>
      </c>
      <c r="H21" s="461" t="s">
        <v>537</v>
      </c>
      <c r="I21">
        <v>0.84799999999999998</v>
      </c>
      <c r="J21">
        <v>1.232</v>
      </c>
      <c r="O21" s="461" t="s">
        <v>537</v>
      </c>
      <c r="P21">
        <v>0.84799999999999998</v>
      </c>
      <c r="Q21">
        <v>1.232</v>
      </c>
      <c r="W21" s="960" t="s">
        <v>537</v>
      </c>
      <c r="X21">
        <v>0.85599999999999998</v>
      </c>
      <c r="Y21">
        <v>1.0820000000000001</v>
      </c>
      <c r="Z21" s="958"/>
      <c r="AA21" s="958"/>
      <c r="AB21" s="958"/>
    </row>
    <row r="22" spans="1:28">
      <c r="A22" s="961" t="s">
        <v>518</v>
      </c>
      <c r="B22" s="958">
        <f t="shared" si="5"/>
        <v>0.85596360051752129</v>
      </c>
      <c r="C22" s="958">
        <f t="shared" si="5"/>
        <v>1.0820000000000001</v>
      </c>
      <c r="D22" s="958">
        <f t="shared" si="5"/>
        <v>0</v>
      </c>
      <c r="E22" s="958">
        <f t="shared" si="5"/>
        <v>0</v>
      </c>
      <c r="F22" s="958">
        <f t="shared" si="5"/>
        <v>0</v>
      </c>
      <c r="H22" s="463" t="s">
        <v>518</v>
      </c>
      <c r="I22" s="966">
        <v>0.85596360051752129</v>
      </c>
      <c r="J22" s="966">
        <v>1.0820000000000001</v>
      </c>
      <c r="O22" s="463" t="s">
        <v>518</v>
      </c>
      <c r="P22" s="966">
        <v>0.85596360051752129</v>
      </c>
      <c r="Q22" s="966">
        <v>1.0820000000000001</v>
      </c>
      <c r="W22" s="961" t="s">
        <v>518</v>
      </c>
      <c r="X22" s="966">
        <v>0.85596360051752129</v>
      </c>
      <c r="Y22" s="966">
        <v>1.0820000000000001</v>
      </c>
      <c r="Z22" s="1088"/>
      <c r="AA22" s="1088"/>
      <c r="AB22" s="1088"/>
    </row>
    <row r="23" spans="1:28">
      <c r="A23" s="960" t="s">
        <v>536</v>
      </c>
      <c r="B23" s="958">
        <f t="shared" si="5"/>
        <v>0</v>
      </c>
      <c r="C23" s="958">
        <f t="shared" si="5"/>
        <v>0</v>
      </c>
      <c r="D23" s="958">
        <f t="shared" si="5"/>
        <v>0</v>
      </c>
      <c r="E23" s="958">
        <f t="shared" si="5"/>
        <v>0</v>
      </c>
      <c r="F23" s="958">
        <f t="shared" si="5"/>
        <v>0</v>
      </c>
      <c r="H23" s="461" t="s">
        <v>536</v>
      </c>
      <c r="O23" s="461" t="s">
        <v>536</v>
      </c>
      <c r="W23" s="960" t="s">
        <v>536</v>
      </c>
      <c r="X23" s="380"/>
      <c r="Y23" s="380"/>
      <c r="Z23" s="380"/>
      <c r="AA23" s="380"/>
      <c r="AB23" s="380"/>
    </row>
    <row r="24" spans="1:28">
      <c r="A24" s="962" t="s">
        <v>520</v>
      </c>
      <c r="B24" s="958">
        <f t="shared" si="5"/>
        <v>0</v>
      </c>
      <c r="C24" s="958">
        <f t="shared" si="5"/>
        <v>0</v>
      </c>
      <c r="D24" s="958">
        <f t="shared" si="5"/>
        <v>0</v>
      </c>
      <c r="E24" s="958">
        <f t="shared" si="5"/>
        <v>0</v>
      </c>
      <c r="F24" s="958">
        <f t="shared" si="5"/>
        <v>0</v>
      </c>
      <c r="H24" s="467" t="s">
        <v>520</v>
      </c>
      <c r="O24" s="467" t="s">
        <v>520</v>
      </c>
      <c r="W24" s="962" t="s">
        <v>520</v>
      </c>
      <c r="X24" s="380"/>
      <c r="Y24" s="958"/>
      <c r="Z24" s="380"/>
      <c r="AA24" s="380"/>
      <c r="AB24" s="380"/>
    </row>
    <row r="25" spans="1:28">
      <c r="A25" s="962"/>
      <c r="B25" s="958"/>
      <c r="C25" s="958"/>
      <c r="D25" s="958"/>
      <c r="E25" s="958"/>
      <c r="F25" s="958"/>
      <c r="H25" s="467" t="s">
        <v>1759</v>
      </c>
      <c r="I25" s="966">
        <v>0.498</v>
      </c>
      <c r="J25" s="966">
        <v>0.877</v>
      </c>
      <c r="O25" s="467" t="s">
        <v>1759</v>
      </c>
      <c r="P25" s="966">
        <v>0.498</v>
      </c>
      <c r="Q25" s="966">
        <v>0.877</v>
      </c>
      <c r="W25" s="962" t="s">
        <v>820</v>
      </c>
      <c r="X25" s="966">
        <v>0.70499999999999996</v>
      </c>
      <c r="Y25" s="966">
        <v>1.0169999999999999</v>
      </c>
      <c r="Z25" s="966">
        <v>2.0489999999999999</v>
      </c>
      <c r="AA25" s="966">
        <v>2.8679999999999999</v>
      </c>
      <c r="AB25" s="966"/>
    </row>
    <row r="26" spans="1:28" ht="16.5" thickBot="1">
      <c r="A26" s="962" t="s">
        <v>820</v>
      </c>
      <c r="B26" s="958">
        <f t="shared" ref="B26:F27" si="6">IF($D$1="yes",I26,IF($B$1="yes",P26,X26))</f>
        <v>0.7381797105503255</v>
      </c>
      <c r="C26" s="958">
        <f t="shared" si="6"/>
        <v>1.1957946207353713</v>
      </c>
      <c r="D26" s="958">
        <f t="shared" si="6"/>
        <v>2.3442554687248678</v>
      </c>
      <c r="E26" s="958">
        <f t="shared" si="6"/>
        <v>2.9947226405694698</v>
      </c>
      <c r="F26" s="958">
        <f t="shared" si="6"/>
        <v>11.336090750303258</v>
      </c>
      <c r="H26" s="1790" t="s">
        <v>711</v>
      </c>
      <c r="I26" s="1768">
        <v>0.7381797105503255</v>
      </c>
      <c r="J26" s="1768">
        <v>1.1957946207353713</v>
      </c>
      <c r="K26" s="1768">
        <v>2.3442554687248678</v>
      </c>
      <c r="L26" s="1768">
        <v>2.9947226405694698</v>
      </c>
      <c r="M26" s="1768">
        <v>11.336090750303258</v>
      </c>
      <c r="O26" s="1790" t="s">
        <v>711</v>
      </c>
      <c r="P26" s="1768">
        <v>0.7381797105503255</v>
      </c>
      <c r="Q26" s="1768">
        <v>1.1957946207353713</v>
      </c>
      <c r="R26" s="1768">
        <v>2.3442554687248678</v>
      </c>
      <c r="S26" s="1768">
        <v>2.9947226405694698</v>
      </c>
      <c r="T26" s="1768">
        <v>11.336090750303258</v>
      </c>
      <c r="W26" s="963" t="s">
        <v>712</v>
      </c>
      <c r="X26" s="1085">
        <f>X25/$X25</f>
        <v>1</v>
      </c>
      <c r="Y26" s="1085">
        <f>Y25/$X25</f>
        <v>1.4425531914893617</v>
      </c>
      <c r="Z26" s="1085">
        <f>Z25/$X25</f>
        <v>2.9063829787234043</v>
      </c>
      <c r="AA26" s="1085">
        <f>AA25/$X25</f>
        <v>4.0680851063829788</v>
      </c>
      <c r="AB26" s="1085"/>
    </row>
    <row r="27" spans="1:28" ht="17.25" thickTop="1" thickBot="1">
      <c r="A27" s="963" t="s">
        <v>712</v>
      </c>
      <c r="B27" s="958">
        <f t="shared" si="6"/>
        <v>0.66696616420281341</v>
      </c>
      <c r="C27" s="958">
        <f t="shared" si="6"/>
        <v>1.0679631607717921</v>
      </c>
      <c r="D27" s="958">
        <f t="shared" si="6"/>
        <v>2.2419354814151804</v>
      </c>
      <c r="E27" s="958">
        <f t="shared" si="6"/>
        <v>2.944059209665129</v>
      </c>
      <c r="F27" s="958">
        <f t="shared" si="6"/>
        <v>11.336090750303258</v>
      </c>
      <c r="H27" s="1791" t="s">
        <v>1760</v>
      </c>
      <c r="I27" s="1768">
        <v>0.66696616420281341</v>
      </c>
      <c r="J27" s="1768">
        <v>1.0679631607717921</v>
      </c>
      <c r="K27" s="1768">
        <v>2.2419354814151804</v>
      </c>
      <c r="L27" s="1768">
        <v>2.944059209665129</v>
      </c>
      <c r="M27" s="1768">
        <v>11.336090750303258</v>
      </c>
      <c r="O27" s="1791" t="s">
        <v>1760</v>
      </c>
      <c r="P27" s="1768">
        <v>0.66696616420281341</v>
      </c>
      <c r="Q27" s="1768">
        <v>1.0679631607717921</v>
      </c>
      <c r="R27" s="1768">
        <v>2.2419354814151804</v>
      </c>
      <c r="S27" s="1768">
        <v>2.944059209665129</v>
      </c>
      <c r="T27" s="1768">
        <v>11.336090750303258</v>
      </c>
      <c r="W27" s="962"/>
      <c r="X27" s="955"/>
      <c r="Y27" s="955"/>
      <c r="Z27" s="955"/>
      <c r="AA27" s="959"/>
      <c r="AB27" s="380"/>
    </row>
    <row r="28" spans="1:28" ht="16.5" thickTop="1">
      <c r="W28" s="962" t="s">
        <v>1084</v>
      </c>
      <c r="X28" s="955"/>
      <c r="Y28" s="955"/>
      <c r="Z28" s="955"/>
      <c r="AA28" s="959"/>
      <c r="AB28" s="380"/>
    </row>
    <row r="29" spans="1:28">
      <c r="W29" s="962"/>
      <c r="X29" s="955"/>
      <c r="Y29" s="955"/>
      <c r="Z29" s="955"/>
      <c r="AA29" s="959"/>
      <c r="AB29" s="380"/>
    </row>
    <row r="30" spans="1:28">
      <c r="O30" s="445" t="s">
        <v>1763</v>
      </c>
      <c r="W30" s="380"/>
      <c r="X30" s="380"/>
      <c r="Y30" s="380"/>
      <c r="Z30" s="380"/>
      <c r="AA30" s="380"/>
      <c r="AB30" s="380"/>
    </row>
    <row r="31" spans="1:28">
      <c r="O31" s="1784" t="s">
        <v>1762</v>
      </c>
      <c r="W31" s="10" t="s">
        <v>811</v>
      </c>
      <c r="X31" s="380"/>
      <c r="Y31" s="380"/>
      <c r="Z31" s="380"/>
      <c r="AA31" s="380"/>
      <c r="AB31" s="380"/>
    </row>
    <row r="32" spans="1:28" ht="31.5">
      <c r="O32" s="1785"/>
      <c r="P32" s="1786" t="s">
        <v>808</v>
      </c>
      <c r="Q32" s="1786" t="s">
        <v>751</v>
      </c>
      <c r="R32" s="1786" t="s">
        <v>809</v>
      </c>
      <c r="S32" s="1786" t="s">
        <v>810</v>
      </c>
      <c r="T32" s="1787" t="s">
        <v>709</v>
      </c>
      <c r="W32" s="459"/>
      <c r="X32" s="956" t="s">
        <v>808</v>
      </c>
      <c r="Y32" s="956" t="s">
        <v>751</v>
      </c>
      <c r="Z32" s="956" t="s">
        <v>809</v>
      </c>
      <c r="AA32" s="956" t="s">
        <v>810</v>
      </c>
      <c r="AB32" s="957" t="s">
        <v>709</v>
      </c>
    </row>
    <row r="33" spans="9:28">
      <c r="O33" s="461" t="s">
        <v>513</v>
      </c>
      <c r="P33" s="966">
        <v>0.74016934894199782</v>
      </c>
      <c r="Q33" s="966">
        <v>1.3860357082718653</v>
      </c>
      <c r="R33" s="966">
        <v>2.700951122987695</v>
      </c>
      <c r="S33" s="966">
        <v>2.9078722413281799</v>
      </c>
      <c r="W33" s="960" t="s">
        <v>513</v>
      </c>
      <c r="X33" s="966">
        <v>0.73825523572651897</v>
      </c>
      <c r="Y33" s="966">
        <v>1.3814582627890051</v>
      </c>
      <c r="Z33" s="966">
        <v>2.729632612875367</v>
      </c>
      <c r="AA33" s="966">
        <v>2.9165348264629047</v>
      </c>
    </row>
    <row r="34" spans="9:28">
      <c r="O34" s="461" t="s">
        <v>6</v>
      </c>
      <c r="P34" s="966">
        <v>0.604348010007425</v>
      </c>
      <c r="Q34" s="966">
        <v>0.93596865843617272</v>
      </c>
      <c r="R34" s="966">
        <v>1.6915857142781536</v>
      </c>
      <c r="S34" s="966">
        <v>4.7731080135202371</v>
      </c>
      <c r="W34" s="960" t="s">
        <v>6</v>
      </c>
      <c r="X34" s="966">
        <v>0.61576638800854122</v>
      </c>
      <c r="Y34" s="966">
        <v>0.92029535976171861</v>
      </c>
      <c r="Z34" s="966">
        <v>1.7073273464509895</v>
      </c>
      <c r="AA34" s="966">
        <v>4.1733890097133033</v>
      </c>
    </row>
    <row r="35" spans="9:28">
      <c r="O35" s="461" t="s">
        <v>8</v>
      </c>
      <c r="P35" s="966">
        <v>0.80591844032291138</v>
      </c>
      <c r="Q35" s="966">
        <v>0.95191431541901539</v>
      </c>
      <c r="R35" s="966">
        <v>1.4765814297124251</v>
      </c>
      <c r="S35" s="966">
        <v>2.5615795756765665</v>
      </c>
      <c r="W35" s="960" t="s">
        <v>8</v>
      </c>
      <c r="X35" s="966">
        <v>0.78234378161025708</v>
      </c>
      <c r="Y35" s="966">
        <v>0.93742665362039157</v>
      </c>
      <c r="Z35" s="966">
        <v>1.4597833437439227</v>
      </c>
      <c r="AA35" s="966">
        <v>2.5274364485170504</v>
      </c>
    </row>
    <row r="36" spans="9:28">
      <c r="O36" s="463" t="s">
        <v>2</v>
      </c>
      <c r="P36" s="966">
        <v>0.74238909628317995</v>
      </c>
      <c r="Q36" s="1788">
        <v>1.3859999999999999</v>
      </c>
      <c r="R36" s="966">
        <v>2.5236605247123802</v>
      </c>
      <c r="S36" s="966">
        <v>2.5466618629820941</v>
      </c>
      <c r="W36" s="961" t="s">
        <v>2</v>
      </c>
      <c r="X36" s="966">
        <v>0.68615868064819785</v>
      </c>
      <c r="Y36" s="966">
        <v>1.4036009447027349</v>
      </c>
      <c r="Z36" s="966">
        <v>2.5215181068519161</v>
      </c>
      <c r="AA36" s="966">
        <v>2.5357100841546707</v>
      </c>
    </row>
    <row r="37" spans="9:28">
      <c r="O37" s="461" t="s">
        <v>10</v>
      </c>
      <c r="P37" s="966"/>
      <c r="Q37" s="966"/>
      <c r="R37" s="966">
        <v>2.2509411803494546</v>
      </c>
      <c r="S37" s="966">
        <v>3.2043987822463871</v>
      </c>
      <c r="T37" s="1789">
        <v>9.4342542433612468</v>
      </c>
      <c r="W37" s="960" t="s">
        <v>10</v>
      </c>
      <c r="X37" s="966"/>
      <c r="Y37" s="966"/>
      <c r="Z37" s="966">
        <v>5.8710151352874629</v>
      </c>
      <c r="AA37" s="966">
        <v>3.1256203051170219</v>
      </c>
      <c r="AB37" s="966">
        <v>9.4342542433612468</v>
      </c>
    </row>
    <row r="38" spans="9:28">
      <c r="O38" s="461" t="s">
        <v>4</v>
      </c>
      <c r="P38" s="966">
        <v>0.76787210971442132</v>
      </c>
      <c r="Q38" s="966">
        <v>1.1773900384743614</v>
      </c>
      <c r="R38" s="966">
        <v>2.5143624686246664</v>
      </c>
      <c r="S38" s="966">
        <v>2.9979102931948924</v>
      </c>
      <c r="W38" s="960" t="s">
        <v>4</v>
      </c>
      <c r="X38" s="966">
        <v>0.7842708946636604</v>
      </c>
      <c r="Y38" s="966">
        <v>1.1402031631853178</v>
      </c>
      <c r="Z38" s="966">
        <v>2.5189298202715129</v>
      </c>
      <c r="AA38" s="966">
        <v>2.9906187797930048</v>
      </c>
    </row>
    <row r="39" spans="9:28">
      <c r="O39" s="461" t="s">
        <v>14</v>
      </c>
      <c r="P39" s="966"/>
      <c r="Q39" s="966"/>
      <c r="R39" s="966">
        <v>2.6150251879060145</v>
      </c>
      <c r="S39" s="966">
        <v>2.9074826860588625</v>
      </c>
      <c r="W39" s="960" t="s">
        <v>14</v>
      </c>
      <c r="X39" s="966"/>
      <c r="Y39" s="966"/>
      <c r="Z39" s="966">
        <v>2.6585575928061984</v>
      </c>
      <c r="AA39" s="966">
        <v>2.8753859676822429</v>
      </c>
    </row>
    <row r="40" spans="9:28">
      <c r="O40" s="463" t="s">
        <v>17</v>
      </c>
      <c r="P40" s="966">
        <v>0.62046792268587847</v>
      </c>
      <c r="Q40" s="966">
        <v>0.95731069279073988</v>
      </c>
      <c r="R40" s="966">
        <v>2.0425142050809693</v>
      </c>
      <c r="S40" s="966">
        <v>3.2406382430814169</v>
      </c>
      <c r="W40" s="961" t="s">
        <v>17</v>
      </c>
      <c r="X40" s="966">
        <v>0.62524737129045094</v>
      </c>
      <c r="Y40" s="966">
        <v>0.9661071118879152</v>
      </c>
      <c r="Z40" s="966">
        <v>2.0712334710740294</v>
      </c>
      <c r="AA40" s="966">
        <v>3.1926454095378611</v>
      </c>
    </row>
    <row r="41" spans="9:28">
      <c r="J41" t="s">
        <v>1778</v>
      </c>
      <c r="O41" s="461" t="s">
        <v>316</v>
      </c>
      <c r="P41" s="966"/>
      <c r="Q41" s="966"/>
      <c r="R41" s="966">
        <v>2.2509411803494546</v>
      </c>
      <c r="T41" s="966">
        <v>14.151</v>
      </c>
      <c r="W41" s="960" t="s">
        <v>316</v>
      </c>
      <c r="X41" s="966"/>
      <c r="Y41" s="966"/>
      <c r="Z41" s="966">
        <v>2.3077760272136798</v>
      </c>
      <c r="AA41" s="966">
        <v>0</v>
      </c>
      <c r="AB41" s="966">
        <v>14.151</v>
      </c>
    </row>
    <row r="42" spans="9:28" ht="31.5">
      <c r="J42" s="1786" t="s">
        <v>808</v>
      </c>
      <c r="K42" s="1786" t="s">
        <v>751</v>
      </c>
      <c r="L42" s="1786" t="s">
        <v>809</v>
      </c>
      <c r="M42" s="1786" t="s">
        <v>810</v>
      </c>
      <c r="N42" s="1787" t="s">
        <v>709</v>
      </c>
      <c r="O42" s="461" t="s">
        <v>7</v>
      </c>
      <c r="P42" s="966">
        <v>0.90788612100077337</v>
      </c>
      <c r="Q42" s="1788">
        <v>1.3859999999999999</v>
      </c>
      <c r="R42" s="966">
        <v>2.5413149511661706</v>
      </c>
      <c r="S42" s="966">
        <v>3.0832589618181729</v>
      </c>
      <c r="W42" s="960" t="s">
        <v>7</v>
      </c>
      <c r="X42" s="966">
        <v>0.92433615746192432</v>
      </c>
      <c r="Y42" s="966">
        <v>1.5303368435282048</v>
      </c>
      <c r="Z42" s="966">
        <v>2.5832720468437356</v>
      </c>
      <c r="AA42" s="966">
        <v>3.0883153658922646</v>
      </c>
    </row>
    <row r="43" spans="9:28">
      <c r="I43" t="s">
        <v>1779</v>
      </c>
      <c r="J43">
        <v>0.65600000000000003</v>
      </c>
      <c r="K43">
        <v>1.0109999999999999</v>
      </c>
      <c r="L43">
        <v>2.3140000000000001</v>
      </c>
      <c r="M43">
        <v>3.1659999999999999</v>
      </c>
      <c r="O43" s="461" t="s">
        <v>9</v>
      </c>
      <c r="P43" s="966">
        <v>0.59487008911368255</v>
      </c>
      <c r="Q43" s="966">
        <v>0.87554410245677927</v>
      </c>
      <c r="R43" s="966">
        <v>2.2521884844779199</v>
      </c>
      <c r="S43" s="966">
        <v>3.0610105768026452</v>
      </c>
      <c r="W43" s="960" t="s">
        <v>9</v>
      </c>
      <c r="X43" s="966">
        <v>0.60760924440702391</v>
      </c>
      <c r="Y43" s="966">
        <v>0.88220300342126901</v>
      </c>
      <c r="Z43" s="966">
        <v>2.2323857203999244</v>
      </c>
      <c r="AA43" s="966">
        <v>3.0089142683525476</v>
      </c>
    </row>
    <row r="44" spans="9:28">
      <c r="O44" s="463" t="s">
        <v>5</v>
      </c>
      <c r="P44" s="966">
        <v>0.67038085433938699</v>
      </c>
      <c r="Q44" s="966">
        <v>1.3242808896306508</v>
      </c>
      <c r="R44" s="966">
        <v>2.8075814910976229</v>
      </c>
      <c r="S44" s="966">
        <v>2.9972377296475483</v>
      </c>
      <c r="W44" s="961" t="s">
        <v>5</v>
      </c>
      <c r="X44" s="966">
        <v>0.68584674669160639</v>
      </c>
      <c r="Y44" s="966">
        <v>1.3843882959939655</v>
      </c>
      <c r="Z44" s="966">
        <v>2.768615670287919</v>
      </c>
      <c r="AA44" s="966">
        <v>2.9612257167589449</v>
      </c>
    </row>
    <row r="45" spans="9:28">
      <c r="W45" s="960"/>
      <c r="X45" s="380"/>
      <c r="Y45" s="380"/>
      <c r="Z45" s="380"/>
      <c r="AA45" s="380"/>
      <c r="AB45" s="380"/>
    </row>
    <row r="46" spans="9:28">
      <c r="O46" s="461" t="s">
        <v>516</v>
      </c>
      <c r="W46" s="960" t="s">
        <v>516</v>
      </c>
      <c r="X46" s="380"/>
      <c r="Y46" s="380"/>
      <c r="Z46" s="380"/>
      <c r="AA46" s="380"/>
      <c r="AB46" s="380"/>
    </row>
    <row r="47" spans="9:28">
      <c r="O47" s="461" t="s">
        <v>537</v>
      </c>
      <c r="P47">
        <v>0.85599999999999998</v>
      </c>
      <c r="Q47">
        <v>1.0820000000000001</v>
      </c>
      <c r="W47" s="960" t="s">
        <v>537</v>
      </c>
      <c r="X47" s="380"/>
      <c r="Y47" s="380"/>
      <c r="Z47" s="380"/>
      <c r="AA47" s="380"/>
      <c r="AB47" s="380"/>
    </row>
    <row r="48" spans="9:28">
      <c r="O48" s="463" t="s">
        <v>518</v>
      </c>
      <c r="P48" s="966">
        <v>0.85596360051752129</v>
      </c>
      <c r="Q48" s="966">
        <v>1.0820000000000001</v>
      </c>
      <c r="W48" s="961" t="s">
        <v>518</v>
      </c>
      <c r="X48" s="964"/>
      <c r="Y48" s="964"/>
      <c r="Z48" s="964"/>
      <c r="AA48" s="964"/>
      <c r="AB48" s="964"/>
    </row>
    <row r="49" spans="1:28">
      <c r="O49" s="461" t="s">
        <v>536</v>
      </c>
      <c r="W49" s="960" t="s">
        <v>536</v>
      </c>
      <c r="X49" s="380"/>
      <c r="Y49" s="380"/>
      <c r="Z49" s="380"/>
      <c r="AA49" s="380"/>
      <c r="AB49" s="380"/>
    </row>
    <row r="50" spans="1:28">
      <c r="O50" s="467" t="s">
        <v>520</v>
      </c>
      <c r="W50" s="962" t="s">
        <v>520</v>
      </c>
      <c r="X50" s="380"/>
      <c r="Y50" s="958"/>
      <c r="Z50" s="380"/>
      <c r="AA50" s="380"/>
      <c r="AB50" s="380"/>
    </row>
    <row r="51" spans="1:28" ht="16.5" thickBot="1">
      <c r="O51" s="467" t="s">
        <v>1759</v>
      </c>
      <c r="P51" s="966">
        <v>0.51801399612267252</v>
      </c>
      <c r="Q51" s="966">
        <v>0.8600714790898768</v>
      </c>
      <c r="W51" s="1086" t="s">
        <v>711</v>
      </c>
      <c r="X51" s="1087">
        <v>0.73850856210006643</v>
      </c>
      <c r="Y51" s="1087">
        <v>1.1811318964529236</v>
      </c>
      <c r="Z51" s="1087">
        <v>2.3354326125608131</v>
      </c>
      <c r="AA51" s="1087">
        <v>2.9719656338531162</v>
      </c>
      <c r="AB51" s="1087">
        <v>11.282282533303981</v>
      </c>
    </row>
    <row r="52" spans="1:28" ht="16.5" thickTop="1">
      <c r="O52" s="1790" t="s">
        <v>711</v>
      </c>
      <c r="P52" s="1768">
        <v>0.7381797105503255</v>
      </c>
      <c r="Q52" s="1768">
        <v>1.1957946207353713</v>
      </c>
      <c r="R52" s="1768">
        <v>2.3442554687248678</v>
      </c>
      <c r="S52" s="1768">
        <v>2.9947226405694698</v>
      </c>
      <c r="T52" s="1768">
        <v>11.336090750303258</v>
      </c>
    </row>
    <row r="53" spans="1:28">
      <c r="O53" s="1791" t="s">
        <v>1760</v>
      </c>
      <c r="P53" s="1768">
        <v>0.66696616420281341</v>
      </c>
      <c r="Q53" s="1768">
        <v>1.0679631607717921</v>
      </c>
      <c r="R53" s="1768">
        <v>2.2419354814151804</v>
      </c>
      <c r="S53" s="1768">
        <v>2.944059209665129</v>
      </c>
      <c r="T53" s="1768">
        <v>11.336090750303258</v>
      </c>
    </row>
    <row r="56" spans="1:28">
      <c r="O56" t="s">
        <v>1757</v>
      </c>
    </row>
    <row r="57" spans="1:28">
      <c r="A57" t="s">
        <v>1081</v>
      </c>
      <c r="O57" s="1784" t="s">
        <v>1758</v>
      </c>
    </row>
    <row r="58" spans="1:28" ht="31.5">
      <c r="O58" s="1785"/>
      <c r="P58" s="1786" t="s">
        <v>808</v>
      </c>
      <c r="Q58" s="1786" t="s">
        <v>751</v>
      </c>
      <c r="R58" s="1786" t="s">
        <v>809</v>
      </c>
      <c r="S58" s="1786" t="s">
        <v>810</v>
      </c>
      <c r="T58" s="1787" t="s">
        <v>709</v>
      </c>
      <c r="X58" s="1120" t="s">
        <v>994</v>
      </c>
      <c r="Y58" s="1120"/>
      <c r="Z58" s="1120"/>
      <c r="AA58" s="1120"/>
    </row>
    <row r="59" spans="1:28">
      <c r="O59" s="461" t="s">
        <v>513</v>
      </c>
      <c r="P59" s="966">
        <v>0.73998173037856396</v>
      </c>
      <c r="Q59" s="966">
        <v>1.4284719010994193</v>
      </c>
      <c r="R59" s="966">
        <v>2.9940236651900212</v>
      </c>
      <c r="S59" s="966">
        <v>3.0615572354211658</v>
      </c>
      <c r="X59" s="57"/>
      <c r="Y59" s="57"/>
      <c r="Z59" s="57"/>
      <c r="AA59" s="57"/>
      <c r="AB59" s="57"/>
    </row>
    <row r="60" spans="1:28">
      <c r="O60" s="461" t="s">
        <v>6</v>
      </c>
      <c r="P60" s="966">
        <v>0.6243257014939112</v>
      </c>
      <c r="Q60" s="966">
        <v>1.0336138423339543</v>
      </c>
      <c r="R60" s="966">
        <v>1.6370418041804178</v>
      </c>
      <c r="S60" s="966">
        <v>4.7633933333333323</v>
      </c>
      <c r="X60" s="14" t="s">
        <v>995</v>
      </c>
      <c r="Y60" s="14" t="s">
        <v>996</v>
      </c>
      <c r="Z60" s="14"/>
      <c r="AA60" s="14"/>
      <c r="AB60" s="14"/>
    </row>
    <row r="61" spans="1:28" ht="16.5" thickBot="1">
      <c r="G61" s="1792"/>
      <c r="H61" s="1792"/>
      <c r="I61" s="1792"/>
      <c r="J61" s="1792"/>
      <c r="K61" s="1792"/>
      <c r="L61" s="1792"/>
      <c r="M61" s="1792"/>
      <c r="N61" s="1792"/>
      <c r="O61" s="461" t="s">
        <v>8</v>
      </c>
      <c r="P61" s="966">
        <v>0.78234378161025708</v>
      </c>
      <c r="Q61" s="966">
        <v>0.93500000000000005</v>
      </c>
      <c r="R61" s="966">
        <v>1.46</v>
      </c>
      <c r="S61" s="966">
        <v>2.5490000000000004</v>
      </c>
      <c r="U61" s="1792"/>
      <c r="V61" s="1792"/>
      <c r="W61" s="1780"/>
      <c r="X61" s="1138" t="s">
        <v>998</v>
      </c>
      <c r="Y61" s="1138" t="s">
        <v>999</v>
      </c>
      <c r="Z61" s="1138" t="s">
        <v>1000</v>
      </c>
      <c r="AA61" s="1138" t="s">
        <v>1001</v>
      </c>
      <c r="AB61" s="1139" t="s">
        <v>13</v>
      </c>
    </row>
    <row r="62" spans="1:28" ht="17.25" thickTop="1" thickBot="1">
      <c r="A62" s="1780" t="s">
        <v>997</v>
      </c>
      <c r="B62" s="1792"/>
      <c r="C62" s="1792"/>
      <c r="D62" s="1792"/>
      <c r="E62" s="1792"/>
      <c r="F62" s="1792"/>
      <c r="G62" s="1121"/>
      <c r="H62" s="1121"/>
      <c r="I62" s="1121"/>
      <c r="J62" s="1121"/>
      <c r="K62" s="1121"/>
      <c r="L62" s="1121"/>
      <c r="M62" s="1121"/>
      <c r="N62" s="1121"/>
      <c r="O62" s="463" t="s">
        <v>2</v>
      </c>
      <c r="P62" s="966">
        <v>0.72755601656757785</v>
      </c>
      <c r="Q62" s="1788">
        <v>1.4279999999999999</v>
      </c>
      <c r="R62" s="966">
        <v>2.7650000000000006</v>
      </c>
      <c r="S62" s="966">
        <v>2.5489999999999999</v>
      </c>
      <c r="U62" s="1121"/>
      <c r="V62" s="1121"/>
      <c r="W62" s="1122" t="s">
        <v>1002</v>
      </c>
      <c r="X62" s="1123">
        <v>0.70466666666666666</v>
      </c>
      <c r="Y62" s="1123">
        <v>1.0170000000000001</v>
      </c>
      <c r="Z62" s="1123">
        <v>2.0489999999999999</v>
      </c>
      <c r="AA62" s="1123">
        <v>2.8679999999999999</v>
      </c>
      <c r="AB62" s="1123">
        <v>1.1013333333333333</v>
      </c>
    </row>
    <row r="63" spans="1:28" ht="16.5" thickTop="1">
      <c r="A63" s="1121"/>
      <c r="B63" s="1121"/>
      <c r="C63" s="1121"/>
      <c r="D63" s="1121"/>
      <c r="E63" s="1121"/>
      <c r="F63" s="1121"/>
      <c r="G63" s="1121"/>
      <c r="H63" s="1121"/>
      <c r="I63" s="1121"/>
      <c r="J63" s="1121"/>
      <c r="K63" s="1121"/>
      <c r="L63" s="1121"/>
      <c r="M63" s="1121"/>
      <c r="N63" s="1121"/>
      <c r="O63" s="461" t="s">
        <v>10</v>
      </c>
      <c r="P63" s="966"/>
      <c r="Q63" s="966"/>
      <c r="R63" s="966">
        <v>2.2839999999999998</v>
      </c>
      <c r="S63" s="966">
        <v>2.976</v>
      </c>
      <c r="T63" s="1789">
        <v>9.4342542433612468</v>
      </c>
      <c r="U63" s="1121"/>
      <c r="V63" s="1121"/>
      <c r="W63" s="1121"/>
      <c r="X63" s="186"/>
      <c r="Y63" s="186"/>
      <c r="Z63" s="186"/>
      <c r="AA63" s="186"/>
      <c r="AB63" s="186"/>
    </row>
    <row r="64" spans="1:28">
      <c r="A64" s="1121"/>
      <c r="B64" s="1121"/>
      <c r="C64" s="1121"/>
      <c r="D64" s="1121"/>
      <c r="E64" s="1121"/>
      <c r="F64" s="1121"/>
      <c r="G64" s="1124"/>
      <c r="H64" s="1124"/>
      <c r="I64" s="1124"/>
      <c r="J64" s="1124"/>
      <c r="K64" s="1124"/>
      <c r="L64" s="1124"/>
      <c r="M64" s="1124"/>
      <c r="N64" s="1124"/>
      <c r="O64" s="461" t="s">
        <v>4</v>
      </c>
      <c r="P64" s="966">
        <v>0.78002646834903766</v>
      </c>
      <c r="Q64" s="966">
        <v>1.1521434672740865</v>
      </c>
      <c r="R64" s="966">
        <v>2.6349949799196795</v>
      </c>
      <c r="S64" s="966">
        <v>2.976</v>
      </c>
      <c r="U64" s="1124"/>
      <c r="V64" s="1124"/>
      <c r="W64" t="s">
        <v>1004</v>
      </c>
      <c r="X64" s="968">
        <v>0.78234378161025708</v>
      </c>
      <c r="Y64" s="968">
        <v>1.3990184844936182</v>
      </c>
      <c r="Z64" s="968">
        <v>2.9323789664798681</v>
      </c>
      <c r="AA64" s="968">
        <v>3.1256203051170219</v>
      </c>
      <c r="AB64" s="1123">
        <v>1.5413700060461275</v>
      </c>
    </row>
    <row r="65" spans="1:33">
      <c r="A65" s="1124" t="s">
        <v>1003</v>
      </c>
      <c r="B65" s="1124"/>
      <c r="C65" s="1124"/>
      <c r="D65" s="1124"/>
      <c r="E65" s="1124"/>
      <c r="F65" s="1124"/>
      <c r="G65" s="1124"/>
      <c r="H65" s="1124"/>
      <c r="I65" s="1124"/>
      <c r="J65" s="1124"/>
      <c r="K65" s="1124"/>
      <c r="L65" s="1124"/>
      <c r="M65" s="1124"/>
      <c r="N65" s="1124"/>
      <c r="O65" s="461" t="s">
        <v>14</v>
      </c>
      <c r="P65" s="966"/>
      <c r="Q65" s="966"/>
      <c r="R65" s="966">
        <v>2.6911358936484491</v>
      </c>
      <c r="S65" s="966">
        <v>2.8712987164527424</v>
      </c>
      <c r="U65" s="1124"/>
      <c r="V65" s="1124"/>
      <c r="W65" s="10" t="s">
        <v>513</v>
      </c>
      <c r="X65" s="186"/>
      <c r="Y65" s="186"/>
      <c r="Z65" s="186"/>
      <c r="AA65" s="186"/>
      <c r="AB65" s="186"/>
    </row>
    <row r="66" spans="1:33">
      <c r="A66" s="1124" t="s">
        <v>1005</v>
      </c>
      <c r="B66" s="1124"/>
      <c r="C66" s="1124"/>
      <c r="D66" s="1124"/>
      <c r="E66" s="1124"/>
      <c r="F66" s="1124"/>
      <c r="G66" s="1124"/>
      <c r="H66" s="1124"/>
      <c r="I66" s="1124"/>
      <c r="J66" s="1124"/>
      <c r="K66" s="1124"/>
      <c r="L66" s="1124"/>
      <c r="M66" s="1124"/>
      <c r="N66" s="1124"/>
      <c r="O66" s="463" t="s">
        <v>17</v>
      </c>
      <c r="P66" s="966">
        <v>0.62171653344405653</v>
      </c>
      <c r="Q66" s="966">
        <v>0.95550908246379429</v>
      </c>
      <c r="R66" s="966">
        <v>2.0860803827751191</v>
      </c>
      <c r="S66" s="966">
        <v>3.2494553686934022</v>
      </c>
      <c r="U66" s="1124"/>
      <c r="V66" s="1124"/>
      <c r="W66" t="s">
        <v>1007</v>
      </c>
      <c r="X66" s="968">
        <v>0.63224723725967402</v>
      </c>
      <c r="Y66" s="968">
        <v>1.3990184844936182</v>
      </c>
      <c r="Z66" s="968">
        <v>2.5199534078431221</v>
      </c>
      <c r="AA66" s="968">
        <v>2.52743644851705</v>
      </c>
      <c r="AB66" s="1123">
        <v>1.3104504496550402</v>
      </c>
    </row>
    <row r="67" spans="1:33">
      <c r="A67" s="1124" t="s">
        <v>1006</v>
      </c>
      <c r="B67" s="1124"/>
      <c r="C67" s="1124"/>
      <c r="D67" s="1124"/>
      <c r="E67" s="1124"/>
      <c r="F67" s="1124"/>
      <c r="G67" s="1124"/>
      <c r="H67" s="1124"/>
      <c r="I67" s="1124"/>
      <c r="J67" s="1124"/>
      <c r="K67" s="1124"/>
      <c r="L67" s="1124"/>
      <c r="M67" s="1124"/>
      <c r="N67" s="1124"/>
      <c r="O67" s="461" t="s">
        <v>316</v>
      </c>
      <c r="P67" s="966"/>
      <c r="Q67" s="966"/>
      <c r="R67" s="966">
        <v>2.2839999999999998</v>
      </c>
      <c r="T67" s="966">
        <v>14.151</v>
      </c>
      <c r="U67" s="1124"/>
      <c r="V67" s="1124"/>
      <c r="W67" t="s">
        <v>1009</v>
      </c>
      <c r="X67" s="1123"/>
      <c r="Y67" s="1123"/>
      <c r="Z67" s="1123"/>
      <c r="AA67" s="1123"/>
      <c r="AB67" s="1123"/>
    </row>
    <row r="68" spans="1:33">
      <c r="A68" s="1124" t="s">
        <v>1008</v>
      </c>
      <c r="B68" s="1124"/>
      <c r="C68" s="1124"/>
      <c r="D68" s="1124"/>
      <c r="E68" s="1124"/>
      <c r="F68" s="1124"/>
      <c r="G68" s="1125"/>
      <c r="H68" s="1125"/>
      <c r="I68" s="1125"/>
      <c r="J68" s="1125"/>
      <c r="K68" s="1125"/>
      <c r="L68" s="1125"/>
      <c r="M68" s="1125"/>
      <c r="N68" s="1125"/>
      <c r="O68" s="461" t="s">
        <v>7</v>
      </c>
      <c r="P68" s="966">
        <v>0.89997653137823164</v>
      </c>
      <c r="Q68" s="966">
        <v>1.3870545339251739</v>
      </c>
      <c r="R68" s="966">
        <v>2.5786363770904241</v>
      </c>
      <c r="S68" s="966">
        <v>2.9760000000000009</v>
      </c>
      <c r="U68" s="1125"/>
      <c r="V68" s="1125"/>
      <c r="W68" s="1126" t="s">
        <v>1011</v>
      </c>
      <c r="X68" s="968">
        <v>0.71321963924010312</v>
      </c>
      <c r="Y68" s="968">
        <v>1.2290874621750383</v>
      </c>
      <c r="Z68" s="968">
        <v>2.9323789664798681</v>
      </c>
      <c r="AA68" s="968">
        <v>4.237064838539232</v>
      </c>
      <c r="AB68" s="1123">
        <v>1.1669969512300551</v>
      </c>
    </row>
    <row r="69" spans="1:33">
      <c r="A69" s="1125" t="s">
        <v>1010</v>
      </c>
      <c r="B69" s="1125"/>
      <c r="C69" s="1125"/>
      <c r="D69" s="1125"/>
      <c r="E69" s="1125"/>
      <c r="F69" s="1125"/>
      <c r="G69" s="1127"/>
      <c r="H69" s="1127"/>
      <c r="I69" s="1127"/>
      <c r="J69" s="1127"/>
      <c r="K69" s="1127"/>
      <c r="L69" s="1127"/>
      <c r="M69" s="1127"/>
      <c r="N69" s="1127"/>
      <c r="O69" s="461" t="s">
        <v>9</v>
      </c>
      <c r="P69" s="966">
        <v>0.6037563099822868</v>
      </c>
      <c r="Q69" s="966">
        <v>0.8381319811803708</v>
      </c>
      <c r="R69" s="966">
        <v>2.3192552816901411</v>
      </c>
      <c r="S69" s="966">
        <v>2.9010812445980987</v>
      </c>
      <c r="U69" s="1127"/>
      <c r="V69" s="1127"/>
      <c r="W69" t="s">
        <v>1013</v>
      </c>
      <c r="X69" s="968">
        <v>0.63224723725967402</v>
      </c>
      <c r="Y69" s="968">
        <v>0.93742665362039157</v>
      </c>
      <c r="Z69" s="968">
        <v>2.3077760272136798</v>
      </c>
      <c r="AA69" s="968">
        <v>2.7676156747716441</v>
      </c>
      <c r="AB69" s="1123">
        <v>0.90800722509918552</v>
      </c>
    </row>
    <row r="70" spans="1:33">
      <c r="A70" s="1127" t="s">
        <v>1012</v>
      </c>
      <c r="B70" s="1127"/>
      <c r="C70" s="1127"/>
      <c r="D70" s="1127"/>
      <c r="E70" s="1127"/>
      <c r="F70" s="1127"/>
      <c r="G70" s="1124"/>
      <c r="H70" s="1124"/>
      <c r="I70" s="1124"/>
      <c r="J70" s="1124"/>
      <c r="K70" s="1124"/>
      <c r="L70" s="1124"/>
      <c r="M70" s="1124"/>
      <c r="N70" s="1124"/>
      <c r="O70" s="463" t="s">
        <v>5</v>
      </c>
      <c r="P70" s="966">
        <v>0.65821180776420729</v>
      </c>
      <c r="Q70" s="966">
        <v>1.4161844073190133</v>
      </c>
      <c r="R70" s="966">
        <v>2.907463203463204</v>
      </c>
      <c r="S70" s="966">
        <v>2.9704545454545457</v>
      </c>
      <c r="U70" s="1124"/>
      <c r="V70" s="1124"/>
      <c r="W70" t="s">
        <v>1015</v>
      </c>
      <c r="X70" s="186"/>
      <c r="Y70" s="186"/>
      <c r="Z70" s="186"/>
      <c r="AA70" s="186"/>
      <c r="AB70" s="186"/>
    </row>
    <row r="71" spans="1:33">
      <c r="A71" s="1124" t="s">
        <v>1014</v>
      </c>
      <c r="B71" s="1124"/>
      <c r="C71" s="1124"/>
      <c r="D71" s="1124"/>
      <c r="E71" s="1124"/>
      <c r="F71" s="1124"/>
      <c r="G71" s="1124"/>
      <c r="H71" s="1124"/>
      <c r="I71" s="1124"/>
      <c r="J71" s="1124"/>
      <c r="K71" s="1124"/>
      <c r="L71" s="1124"/>
      <c r="M71" s="1124"/>
      <c r="N71" s="1124"/>
      <c r="U71" s="1124"/>
      <c r="V71" s="1124"/>
      <c r="W71" s="10" t="s">
        <v>1017</v>
      </c>
      <c r="X71" s="968">
        <v>0.63224723725967402</v>
      </c>
      <c r="Y71" s="968">
        <v>1.2290874621750383</v>
      </c>
      <c r="Z71" s="968">
        <v>2.0601293423722637</v>
      </c>
      <c r="AA71" s="968">
        <v>2.9381764558602566</v>
      </c>
      <c r="AB71" s="1123">
        <v>1.1714559244664122</v>
      </c>
    </row>
    <row r="72" spans="1:33">
      <c r="A72" s="1124" t="s">
        <v>1016</v>
      </c>
      <c r="B72" s="1124"/>
      <c r="C72" s="1124"/>
      <c r="D72" s="1124"/>
      <c r="E72" s="1124"/>
      <c r="F72" s="1124"/>
      <c r="G72" s="1124"/>
      <c r="H72" s="1124"/>
      <c r="I72" s="1124"/>
      <c r="J72" s="1124"/>
      <c r="K72" s="1124"/>
      <c r="L72" s="1124"/>
      <c r="M72" s="1124"/>
      <c r="N72" s="1124"/>
      <c r="O72" s="461" t="s">
        <v>516</v>
      </c>
      <c r="U72" s="1124"/>
      <c r="V72" s="1124"/>
      <c r="W72" s="10" t="s">
        <v>8</v>
      </c>
      <c r="X72" s="968">
        <v>0.78234378161025708</v>
      </c>
      <c r="Y72" s="968">
        <v>0.93742665362039157</v>
      </c>
      <c r="Z72" s="968">
        <v>1.4597833437439225</v>
      </c>
      <c r="AA72" s="968">
        <v>2.52743644851705</v>
      </c>
      <c r="AB72" s="1123">
        <v>1.1598899108014258</v>
      </c>
    </row>
    <row r="73" spans="1:33">
      <c r="A73" s="1124" t="s">
        <v>1018</v>
      </c>
      <c r="B73" s="1124"/>
      <c r="C73" s="1124"/>
      <c r="D73" s="1124"/>
      <c r="E73" s="1124"/>
      <c r="F73" s="1124"/>
      <c r="G73" s="1125"/>
      <c r="H73" s="1125"/>
      <c r="I73" s="1125"/>
      <c r="J73" s="1125"/>
      <c r="K73" s="1125"/>
      <c r="L73" s="1125"/>
      <c r="M73" s="1125"/>
      <c r="N73" s="1125"/>
      <c r="O73" s="461" t="s">
        <v>537</v>
      </c>
      <c r="P73">
        <v>0.84799999999999998</v>
      </c>
      <c r="Q73">
        <v>1.232</v>
      </c>
      <c r="U73" s="1125"/>
      <c r="V73" s="1125"/>
      <c r="W73" s="1128" t="s">
        <v>7</v>
      </c>
      <c r="X73" s="1129">
        <v>1.0389631366630352</v>
      </c>
      <c r="Y73" s="1129">
        <v>1.649477614717145</v>
      </c>
      <c r="Z73" s="1129">
        <v>2.731844947613955</v>
      </c>
      <c r="AA73" s="968">
        <v>3.1256203051170219</v>
      </c>
      <c r="AB73" s="1123">
        <v>1.8481153967045978</v>
      </c>
    </row>
    <row r="74" spans="1:33">
      <c r="A74" s="1125" t="s">
        <v>1019</v>
      </c>
      <c r="B74" s="1125"/>
      <c r="C74" s="1125"/>
      <c r="D74" s="1125"/>
      <c r="E74" s="1125"/>
      <c r="F74" s="1125"/>
      <c r="G74" s="1124"/>
      <c r="H74" s="1124"/>
      <c r="I74" s="1124"/>
      <c r="J74" s="1124"/>
      <c r="K74" s="1124"/>
      <c r="L74" s="1124"/>
      <c r="M74" s="1124"/>
      <c r="N74" s="1124"/>
      <c r="O74" s="463" t="s">
        <v>518</v>
      </c>
      <c r="P74" s="966">
        <v>0.85596360051752129</v>
      </c>
      <c r="Q74" s="966">
        <v>1.0820000000000001</v>
      </c>
      <c r="U74" s="1124"/>
      <c r="V74" s="1124"/>
      <c r="W74" s="10" t="s">
        <v>1021</v>
      </c>
      <c r="X74" s="1123"/>
      <c r="Y74" s="1123"/>
      <c r="Z74" s="1123"/>
      <c r="AA74" s="1123"/>
      <c r="AB74" s="1123"/>
    </row>
    <row r="75" spans="1:33">
      <c r="A75" s="1124" t="s">
        <v>1020</v>
      </c>
      <c r="B75" s="1124"/>
      <c r="C75" s="1124"/>
      <c r="D75" s="1124"/>
      <c r="E75" s="1124"/>
      <c r="F75" s="1124"/>
      <c r="G75" s="1127"/>
      <c r="H75" s="1127"/>
      <c r="I75" s="1127"/>
      <c r="J75" s="1127"/>
      <c r="K75" s="1127"/>
      <c r="L75" s="1127"/>
      <c r="M75" s="1127"/>
      <c r="N75" s="1127"/>
      <c r="O75" s="461" t="s">
        <v>536</v>
      </c>
      <c r="U75" s="1127"/>
      <c r="V75" s="1127"/>
      <c r="W75" t="s">
        <v>1023</v>
      </c>
      <c r="X75" s="968">
        <v>0.71321963924010312</v>
      </c>
      <c r="Y75" s="968">
        <v>0.93742665362039157</v>
      </c>
      <c r="Z75" s="968">
        <v>2.0601293423722637</v>
      </c>
      <c r="AA75" s="968">
        <v>2.52743644851705</v>
      </c>
      <c r="AB75" s="1123">
        <v>0.89601951442286965</v>
      </c>
    </row>
    <row r="76" spans="1:33">
      <c r="A76" s="1127" t="s">
        <v>1022</v>
      </c>
      <c r="B76" s="1127"/>
      <c r="C76" s="1127"/>
      <c r="D76" s="1127"/>
      <c r="E76" s="1127"/>
      <c r="F76" s="1127"/>
      <c r="G76" s="1124"/>
      <c r="H76" s="1124"/>
      <c r="I76" s="1124"/>
      <c r="J76" s="1124"/>
      <c r="K76" s="1124"/>
      <c r="L76" s="1124"/>
      <c r="M76" s="1124"/>
      <c r="N76" s="1124"/>
      <c r="O76" s="467" t="s">
        <v>520</v>
      </c>
      <c r="U76" s="1124"/>
      <c r="V76" s="1124"/>
      <c r="W76" t="s">
        <v>1025</v>
      </c>
      <c r="X76" s="968">
        <v>0.49833754031692484</v>
      </c>
      <c r="Y76" s="968">
        <v>0.79823198386182959</v>
      </c>
      <c r="Z76" s="968">
        <v>2.9323789664798681</v>
      </c>
      <c r="AA76" s="968">
        <v>3.1256203051170219</v>
      </c>
      <c r="AB76" s="1123">
        <v>0.78180915303086307</v>
      </c>
    </row>
    <row r="77" spans="1:33">
      <c r="A77" s="1124" t="s">
        <v>1024</v>
      </c>
      <c r="B77" s="1124"/>
      <c r="C77" s="1124"/>
      <c r="D77" s="1124"/>
      <c r="E77" s="1124"/>
      <c r="F77" s="1124"/>
      <c r="G77" s="1124"/>
      <c r="H77" s="1124"/>
      <c r="I77" s="1124"/>
      <c r="J77" s="1124"/>
      <c r="K77" s="1124"/>
      <c r="L77" s="1124"/>
      <c r="M77" s="1124"/>
      <c r="N77" s="1124"/>
      <c r="O77" s="467" t="s">
        <v>1759</v>
      </c>
      <c r="P77" s="966">
        <v>0.498</v>
      </c>
      <c r="Q77" s="966">
        <v>0.877</v>
      </c>
      <c r="U77" s="1124"/>
      <c r="V77" s="1124"/>
      <c r="W77" t="s">
        <v>1027</v>
      </c>
      <c r="X77" s="1123"/>
      <c r="Y77" s="1123"/>
      <c r="Z77" s="1123"/>
      <c r="AA77" s="1123"/>
      <c r="AB77" s="1123"/>
    </row>
    <row r="78" spans="1:33">
      <c r="A78" s="1124" t="s">
        <v>1026</v>
      </c>
      <c r="B78" s="1124"/>
      <c r="C78" s="1124"/>
      <c r="D78" s="1124"/>
      <c r="E78" s="1124"/>
      <c r="F78" s="1124"/>
      <c r="G78" s="1127"/>
      <c r="H78" s="1127"/>
      <c r="I78" s="1127"/>
      <c r="J78" s="1127"/>
      <c r="K78" s="1127"/>
      <c r="L78" s="1127"/>
      <c r="M78" s="1127"/>
      <c r="N78" s="1127"/>
      <c r="O78" s="1790" t="s">
        <v>711</v>
      </c>
      <c r="P78" s="1768">
        <v>0.7381797105503255</v>
      </c>
      <c r="Q78" s="1768">
        <v>1.1957946207353713</v>
      </c>
      <c r="R78" s="1768">
        <v>2.3442554687248678</v>
      </c>
      <c r="S78" s="1768">
        <v>2.9947226405694698</v>
      </c>
      <c r="T78" s="1768">
        <v>11.336090750303258</v>
      </c>
      <c r="U78" s="1127"/>
      <c r="V78" s="1127"/>
      <c r="W78" s="1126" t="s">
        <v>1029</v>
      </c>
      <c r="X78" s="968">
        <v>0.78234378161025708</v>
      </c>
      <c r="Y78" s="968">
        <v>0.87675021181139867</v>
      </c>
      <c r="Z78" s="968">
        <v>2.3077760272136798</v>
      </c>
      <c r="AA78" s="1129">
        <v>2.1690939740010453</v>
      </c>
      <c r="AB78" s="1123">
        <v>0.88951800221345834</v>
      </c>
      <c r="AD78" t="s">
        <v>1735</v>
      </c>
    </row>
    <row r="79" spans="1:33">
      <c r="A79" s="1127" t="s">
        <v>1028</v>
      </c>
      <c r="B79" s="1127"/>
      <c r="C79" s="1127"/>
      <c r="D79" s="1127"/>
      <c r="E79" s="1127"/>
      <c r="F79" s="1127"/>
      <c r="G79" s="1124"/>
      <c r="H79" s="1124"/>
      <c r="I79" s="1124"/>
      <c r="J79" s="1124"/>
      <c r="K79" s="1124"/>
      <c r="L79" s="1124"/>
      <c r="M79" s="1124"/>
      <c r="N79" s="1124"/>
      <c r="O79" s="1791" t="s">
        <v>1760</v>
      </c>
      <c r="P79" s="1768">
        <v>0.66696616420281341</v>
      </c>
      <c r="Q79" s="1768">
        <v>1.0679631607717921</v>
      </c>
      <c r="R79" s="1768">
        <v>2.2419354814151804</v>
      </c>
      <c r="S79" s="1768">
        <v>2.944059209665129</v>
      </c>
      <c r="T79" s="1768">
        <v>11.336090750303258</v>
      </c>
      <c r="U79" s="1124"/>
      <c r="V79" s="1124"/>
      <c r="W79" t="s">
        <v>1031</v>
      </c>
      <c r="X79" s="1129">
        <v>1.153656551813852</v>
      </c>
      <c r="Y79" s="1129">
        <v>1.4726783625889173</v>
      </c>
      <c r="Z79" s="968">
        <v>2.5199534078431221</v>
      </c>
      <c r="AA79" s="1129">
        <v>1.8707653952520968</v>
      </c>
      <c r="AB79" s="1123">
        <v>1.3583122960142826</v>
      </c>
      <c r="AD79" s="1768">
        <v>0.66791382333064242</v>
      </c>
      <c r="AE79" s="1768">
        <v>0.99724912781618147</v>
      </c>
      <c r="AF79" s="1768">
        <v>2.517330619815866</v>
      </c>
      <c r="AG79" s="1768">
        <v>3.0890498953320185</v>
      </c>
    </row>
    <row r="80" spans="1:33">
      <c r="A80" s="1124" t="s">
        <v>1030</v>
      </c>
      <c r="B80" s="1124"/>
      <c r="C80" s="1124"/>
      <c r="D80" s="1124"/>
      <c r="E80" s="1124"/>
      <c r="F80" s="1124"/>
      <c r="G80" s="1124"/>
      <c r="H80" s="1124"/>
      <c r="I80" s="1124"/>
      <c r="J80" s="1124"/>
      <c r="K80" s="1124"/>
      <c r="L80" s="1124"/>
      <c r="M80" s="1124"/>
      <c r="N80" s="1124"/>
      <c r="O80" s="1124"/>
      <c r="P80" s="1124"/>
      <c r="Q80" s="1124"/>
      <c r="R80" s="1124"/>
      <c r="S80" s="1124"/>
      <c r="T80" s="1124"/>
      <c r="U80" s="1124"/>
      <c r="V80" s="1124"/>
      <c r="W80" t="s">
        <v>1033</v>
      </c>
      <c r="X80" s="1123"/>
      <c r="Y80" s="1123"/>
      <c r="Z80" s="1123"/>
      <c r="AA80" s="1123"/>
      <c r="AB80" s="1123"/>
    </row>
    <row r="81" spans="1:28">
      <c r="A81" s="1124" t="s">
        <v>1032</v>
      </c>
      <c r="B81" s="1124"/>
      <c r="C81" s="1124"/>
      <c r="D81" s="1124"/>
      <c r="E81" s="1124"/>
      <c r="F81" s="1124"/>
      <c r="G81" s="1127"/>
      <c r="H81" s="1127"/>
      <c r="I81" s="1127"/>
      <c r="J81" s="1127"/>
      <c r="K81" s="1127"/>
      <c r="L81" s="1127"/>
      <c r="M81" s="1127"/>
      <c r="N81" s="1127"/>
      <c r="O81" s="1127"/>
      <c r="P81" s="1127"/>
      <c r="Q81" s="1127"/>
      <c r="R81" s="1127"/>
      <c r="S81" s="1127"/>
      <c r="T81" s="1127"/>
      <c r="U81" s="1127"/>
      <c r="V81" s="1127"/>
      <c r="W81" s="10" t="s">
        <v>1035</v>
      </c>
      <c r="X81" s="968">
        <v>0.78234378161025708</v>
      </c>
      <c r="Y81" s="968">
        <v>1.0845788255249693</v>
      </c>
      <c r="Z81" s="968">
        <v>2.9323789664798681</v>
      </c>
      <c r="AA81" s="968">
        <v>2.9381764558602566</v>
      </c>
      <c r="AB81" s="1123">
        <v>1.1580666848798811</v>
      </c>
    </row>
    <row r="82" spans="1:28">
      <c r="A82" s="1127" t="s">
        <v>1034</v>
      </c>
      <c r="B82" s="1127"/>
      <c r="C82" s="1127"/>
      <c r="D82" s="1127"/>
      <c r="E82" s="1127"/>
      <c r="F82" s="1127"/>
      <c r="G82" s="1127"/>
      <c r="H82" s="1127"/>
      <c r="I82" s="1127"/>
      <c r="J82" s="1127"/>
      <c r="K82" s="1127"/>
      <c r="L82" s="1127"/>
      <c r="M82" s="1127"/>
      <c r="N82" s="1127"/>
      <c r="O82" s="1127"/>
      <c r="P82" s="1127"/>
      <c r="Q82" s="1127"/>
      <c r="R82" s="1127"/>
      <c r="S82" s="1127"/>
      <c r="T82" s="1127"/>
      <c r="U82" s="1127"/>
      <c r="V82" s="1127"/>
      <c r="W82" s="10" t="s">
        <v>1037</v>
      </c>
      <c r="X82" s="968">
        <v>0.63224723725967402</v>
      </c>
      <c r="Y82" s="968">
        <v>0.93742665362039157</v>
      </c>
      <c r="Z82" s="968">
        <v>2.3077760272136798</v>
      </c>
      <c r="AA82" s="968">
        <v>3.1256203051170219</v>
      </c>
      <c r="AB82" s="1123">
        <v>0.77831219357074288</v>
      </c>
    </row>
    <row r="83" spans="1:28">
      <c r="A83" s="1127" t="s">
        <v>1036</v>
      </c>
      <c r="B83" s="1127"/>
      <c r="C83" s="1127"/>
      <c r="D83" s="1127"/>
      <c r="E83" s="1127"/>
      <c r="F83" s="1127"/>
      <c r="G83" s="1125"/>
      <c r="H83" s="1125"/>
      <c r="I83" s="1125"/>
      <c r="J83" s="1125"/>
      <c r="K83" s="1125"/>
      <c r="L83" s="1125"/>
      <c r="M83" s="1125"/>
      <c r="N83" s="1125"/>
      <c r="O83" s="1125"/>
      <c r="P83" s="1125"/>
      <c r="Q83" s="1125"/>
      <c r="R83" s="1125"/>
      <c r="S83" s="1125"/>
      <c r="T83" s="1125"/>
      <c r="U83" s="1125"/>
      <c r="V83" s="1125"/>
      <c r="W83" s="1126" t="s">
        <v>1039</v>
      </c>
      <c r="X83" s="186"/>
      <c r="Y83" s="186"/>
      <c r="Z83" s="186"/>
      <c r="AA83" s="186"/>
      <c r="AB83" s="186"/>
    </row>
    <row r="84" spans="1:28">
      <c r="A84" s="1125" t="s">
        <v>1038</v>
      </c>
      <c r="B84" s="1125"/>
      <c r="C84" s="1125"/>
      <c r="D84" s="1125"/>
      <c r="E84" s="1125"/>
      <c r="F84" s="1125"/>
      <c r="G84" s="1124"/>
      <c r="H84" s="1124"/>
      <c r="I84" s="1124"/>
      <c r="J84" s="1124"/>
      <c r="K84" s="1124"/>
      <c r="L84" s="1124"/>
      <c r="M84" s="1124"/>
      <c r="N84" s="1124"/>
      <c r="O84" s="1124"/>
      <c r="P84" s="1124"/>
      <c r="Q84" s="1124"/>
      <c r="R84" s="1124"/>
      <c r="S84" s="1124"/>
      <c r="T84" s="1124"/>
      <c r="U84" s="1124"/>
      <c r="V84" s="1124"/>
      <c r="W84" t="s">
        <v>1041</v>
      </c>
      <c r="X84" s="186"/>
      <c r="Y84" s="186"/>
      <c r="Z84" s="186"/>
      <c r="AA84" s="186"/>
      <c r="AB84" s="186"/>
    </row>
    <row r="85" spans="1:28">
      <c r="A85" s="1124" t="s">
        <v>1040</v>
      </c>
      <c r="B85" s="1124"/>
      <c r="C85" s="1124"/>
      <c r="D85" s="1124"/>
      <c r="E85" s="1124"/>
      <c r="F85" s="1124"/>
      <c r="G85" s="1124"/>
      <c r="H85" s="1124"/>
      <c r="I85" s="1124"/>
      <c r="J85" s="1124"/>
      <c r="K85" s="1124"/>
      <c r="L85" s="1124"/>
      <c r="M85" s="1124"/>
      <c r="N85" s="1124"/>
      <c r="O85" s="1124"/>
      <c r="P85" s="1124"/>
      <c r="Q85" s="1124"/>
      <c r="R85" s="1124"/>
      <c r="S85" s="1124"/>
      <c r="T85" s="1124"/>
      <c r="U85" s="1124"/>
      <c r="V85" s="1124"/>
      <c r="W85" t="s">
        <v>1043</v>
      </c>
      <c r="X85" s="968">
        <v>0.84813424045353047</v>
      </c>
      <c r="Y85" s="968">
        <v>1.0845788255249693</v>
      </c>
      <c r="Z85" s="968">
        <v>2.9323789664798681</v>
      </c>
      <c r="AA85" s="968">
        <v>4.237064838539232</v>
      </c>
      <c r="AB85" s="1123">
        <v>1.138314500837696</v>
      </c>
    </row>
    <row r="86" spans="1:28">
      <c r="A86" s="1124" t="s">
        <v>1042</v>
      </c>
      <c r="B86" s="1124"/>
      <c r="C86" s="1124"/>
      <c r="D86" s="1124"/>
      <c r="E86" s="1124"/>
      <c r="F86" s="1124"/>
      <c r="G86" s="1124"/>
      <c r="H86" s="1124"/>
      <c r="I86" s="1124"/>
      <c r="J86" s="1124"/>
      <c r="K86" s="1124"/>
      <c r="L86" s="1124"/>
      <c r="M86" s="1124"/>
      <c r="N86" s="1124"/>
      <c r="O86" s="1124"/>
      <c r="P86" s="1124"/>
      <c r="Q86" s="1124"/>
      <c r="R86" s="1124"/>
      <c r="S86" s="1124"/>
      <c r="T86" s="1124"/>
      <c r="U86" s="1124"/>
      <c r="V86" s="1124"/>
      <c r="W86" t="s">
        <v>1045</v>
      </c>
      <c r="X86" s="968">
        <v>0.63224723725967402</v>
      </c>
      <c r="Y86" s="968">
        <v>0.79823198386182959</v>
      </c>
      <c r="Z86" s="968">
        <v>1.6767731178102689</v>
      </c>
      <c r="AA86" s="968">
        <v>2.52743644851705</v>
      </c>
      <c r="AB86" s="1123">
        <v>0.79733509325429863</v>
      </c>
    </row>
    <row r="87" spans="1:28">
      <c r="A87" s="1124" t="s">
        <v>1044</v>
      </c>
      <c r="B87" s="1124"/>
      <c r="C87" s="1124"/>
      <c r="D87" s="1124"/>
      <c r="E87" s="1124"/>
      <c r="F87" s="1124"/>
      <c r="G87" s="1124"/>
      <c r="H87" s="1124"/>
      <c r="I87" s="1124"/>
      <c r="J87" s="1124"/>
      <c r="K87" s="1124"/>
      <c r="L87" s="1124"/>
      <c r="M87" s="1124"/>
      <c r="N87" s="1124"/>
      <c r="O87" s="1124"/>
      <c r="P87" s="1124"/>
      <c r="Q87" s="1124"/>
      <c r="R87" s="1124"/>
      <c r="S87" s="1124"/>
      <c r="T87" s="1124"/>
      <c r="U87" s="1124"/>
      <c r="V87" s="1124"/>
      <c r="W87" t="s">
        <v>1047</v>
      </c>
      <c r="X87" s="186"/>
      <c r="Y87" s="186"/>
      <c r="Z87" s="186"/>
      <c r="AA87" s="186"/>
      <c r="AB87" s="186"/>
    </row>
    <row r="88" spans="1:28">
      <c r="A88" s="1124" t="s">
        <v>1046</v>
      </c>
      <c r="B88" s="1124"/>
      <c r="C88" s="1124"/>
      <c r="D88" s="1124"/>
      <c r="E88" s="1124"/>
      <c r="F88" s="1124"/>
      <c r="G88" s="1125"/>
      <c r="H88" s="1125"/>
      <c r="I88" s="1125"/>
      <c r="J88" s="1125"/>
      <c r="K88" s="1125"/>
      <c r="L88" s="1125"/>
      <c r="M88" s="1125"/>
      <c r="N88" s="1125"/>
      <c r="O88" s="1125"/>
      <c r="P88" s="1125"/>
      <c r="Q88" s="1125"/>
      <c r="R88" s="1125"/>
      <c r="S88" s="1125"/>
      <c r="T88" s="1125"/>
      <c r="U88" s="1125"/>
      <c r="V88" s="1125"/>
      <c r="W88" s="1126" t="s">
        <v>1049</v>
      </c>
      <c r="X88" s="186"/>
      <c r="Y88" s="186"/>
      <c r="Z88" s="186"/>
      <c r="AA88" s="186"/>
      <c r="AB88" s="186"/>
    </row>
    <row r="89" spans="1:28">
      <c r="A89" s="1125" t="s">
        <v>1048</v>
      </c>
      <c r="B89" s="1125"/>
      <c r="C89" s="1125"/>
      <c r="D89" s="1125"/>
      <c r="E89" s="1125"/>
      <c r="F89" s="1125"/>
      <c r="G89" s="1130"/>
      <c r="H89" s="1130"/>
      <c r="I89" s="1130"/>
      <c r="J89" s="1130"/>
      <c r="K89" s="1130"/>
      <c r="L89" s="1130"/>
      <c r="M89" s="1130"/>
      <c r="N89" s="1130"/>
      <c r="O89" s="1130"/>
      <c r="P89" s="1130"/>
      <c r="Q89" s="1130"/>
      <c r="R89" s="1130"/>
      <c r="S89" s="1130"/>
      <c r="T89" s="1130"/>
      <c r="U89" s="1130"/>
      <c r="V89" s="1130"/>
      <c r="W89" t="s">
        <v>1051</v>
      </c>
      <c r="X89" s="968">
        <v>0.63224723725967402</v>
      </c>
      <c r="Y89" s="968">
        <v>0.87675021181139867</v>
      </c>
      <c r="Z89" s="968">
        <v>2.9323789664798681</v>
      </c>
      <c r="AA89" s="968">
        <v>2.7676156747716441</v>
      </c>
      <c r="AB89" s="1123">
        <v>0.82159493756605451</v>
      </c>
    </row>
    <row r="90" spans="1:28">
      <c r="A90" s="1130" t="s">
        <v>1050</v>
      </c>
      <c r="B90" s="1130"/>
      <c r="C90" s="1130"/>
      <c r="D90" s="1130"/>
      <c r="E90" s="1130"/>
      <c r="F90" s="1130"/>
      <c r="G90" s="1127"/>
      <c r="H90" s="1127"/>
      <c r="I90" s="1127"/>
      <c r="J90" s="1127"/>
      <c r="K90" s="1127"/>
      <c r="L90" s="1127"/>
      <c r="M90" s="1127"/>
      <c r="N90" s="1127"/>
      <c r="O90" s="1127"/>
      <c r="P90" s="1127"/>
      <c r="Q90" s="1127"/>
      <c r="R90" s="1127"/>
      <c r="S90" s="1127"/>
      <c r="T90" s="1127"/>
      <c r="U90" s="1127"/>
      <c r="V90" s="1127"/>
      <c r="W90" s="10" t="s">
        <v>1053</v>
      </c>
      <c r="X90" s="968">
        <v>0.84813424045353047</v>
      </c>
      <c r="Y90" s="968">
        <v>1.3990184844936182</v>
      </c>
      <c r="Z90" s="1129">
        <v>3.399324882240542</v>
      </c>
      <c r="AA90" s="968">
        <v>2.9381764558602566</v>
      </c>
      <c r="AB90" s="1123">
        <v>1.1704739044778132</v>
      </c>
    </row>
    <row r="91" spans="1:28">
      <c r="A91" s="1127" t="s">
        <v>1052</v>
      </c>
      <c r="B91" s="1127"/>
      <c r="C91" s="1127"/>
      <c r="D91" s="1127"/>
      <c r="E91" s="1127"/>
      <c r="F91" s="1127"/>
      <c r="G91" s="1124"/>
      <c r="H91" s="1124"/>
      <c r="I91" s="1124"/>
      <c r="J91" s="1124"/>
      <c r="K91" s="1124"/>
      <c r="L91" s="1124"/>
      <c r="M91" s="1124"/>
      <c r="N91" s="1124"/>
      <c r="O91" s="1124"/>
      <c r="P91" s="1124"/>
      <c r="Q91" s="1124"/>
      <c r="R91" s="1124"/>
      <c r="S91" s="1124"/>
      <c r="T91" s="1124"/>
      <c r="U91" s="1124"/>
      <c r="V91" s="1124"/>
      <c r="W91" s="10" t="s">
        <v>1055</v>
      </c>
      <c r="X91" s="186"/>
      <c r="Y91" s="186"/>
      <c r="Z91" s="186"/>
      <c r="AA91" s="186"/>
      <c r="AB91" s="186"/>
    </row>
    <row r="92" spans="1:28">
      <c r="A92" s="1124" t="s">
        <v>1054</v>
      </c>
      <c r="B92" s="1124"/>
      <c r="C92" s="1124"/>
      <c r="D92" s="1124"/>
      <c r="E92" s="1124"/>
      <c r="F92" s="1124"/>
      <c r="G92" s="1124"/>
      <c r="H92" s="1124"/>
      <c r="I92" s="1124"/>
      <c r="J92" s="1124"/>
      <c r="K92" s="1124"/>
      <c r="L92" s="1124"/>
      <c r="M92" s="1124"/>
      <c r="N92" s="1124"/>
      <c r="O92" s="1124"/>
      <c r="P92" s="1124"/>
      <c r="Q92" s="1124"/>
      <c r="R92" s="1124"/>
      <c r="S92" s="1124"/>
      <c r="T92" s="1124"/>
      <c r="U92" s="1124"/>
      <c r="V92" s="1124"/>
      <c r="W92" t="s">
        <v>1057</v>
      </c>
      <c r="X92" s="968">
        <v>0.49833754031692484</v>
      </c>
      <c r="Y92" s="968">
        <v>0.79823198386182959</v>
      </c>
      <c r="Z92" s="968">
        <v>2.9323789664798681</v>
      </c>
      <c r="AA92" s="968">
        <v>2.9381764558602566</v>
      </c>
      <c r="AB92" s="1123">
        <v>0.85698226307429737</v>
      </c>
    </row>
    <row r="93" spans="1:28">
      <c r="A93" s="1124" t="s">
        <v>1056</v>
      </c>
      <c r="B93" s="1124"/>
      <c r="C93" s="1124"/>
      <c r="D93" s="1124"/>
      <c r="E93" s="1124"/>
      <c r="F93" s="1124"/>
      <c r="G93" s="1125"/>
      <c r="H93" s="1125"/>
      <c r="I93" s="1125"/>
      <c r="J93" s="1125"/>
      <c r="K93" s="1125"/>
      <c r="L93" s="1125"/>
      <c r="M93" s="1125"/>
      <c r="N93" s="1125"/>
      <c r="O93" s="1125"/>
      <c r="P93" s="1125"/>
      <c r="Q93" s="1125"/>
      <c r="R93" s="1125"/>
      <c r="S93" s="1125"/>
      <c r="T93" s="1125"/>
      <c r="U93" s="1125"/>
      <c r="V93" s="1125"/>
      <c r="W93" s="1126" t="s">
        <v>1059</v>
      </c>
      <c r="X93" s="1123"/>
      <c r="Y93" s="1123"/>
      <c r="Z93" s="1123"/>
      <c r="AA93" s="1123"/>
      <c r="AB93" s="1123"/>
    </row>
    <row r="94" spans="1:28">
      <c r="A94" s="1125" t="s">
        <v>1058</v>
      </c>
      <c r="B94" s="1125"/>
      <c r="C94" s="1125"/>
      <c r="D94" s="1125"/>
      <c r="E94" s="1125"/>
      <c r="F94" s="1125"/>
      <c r="G94" s="1124"/>
      <c r="H94" s="1124"/>
      <c r="I94" s="1124"/>
      <c r="J94" s="1124"/>
      <c r="K94" s="1124"/>
      <c r="L94" s="1124"/>
      <c r="M94" s="1124"/>
      <c r="N94" s="1124"/>
      <c r="O94" s="1124"/>
      <c r="P94" s="1124"/>
      <c r="Q94" s="1124"/>
      <c r="R94" s="1124"/>
      <c r="S94" s="1124"/>
      <c r="T94" s="1124"/>
      <c r="U94" s="1124"/>
      <c r="V94" s="1124"/>
      <c r="W94" t="s">
        <v>1061</v>
      </c>
      <c r="X94" s="968">
        <v>0.84813424045353047</v>
      </c>
      <c r="Y94" s="968">
        <v>1.0845788255249693</v>
      </c>
      <c r="Z94" s="968">
        <v>1.4597833437439225</v>
      </c>
      <c r="AA94" s="968">
        <v>3.1256203051170219</v>
      </c>
      <c r="AB94" s="1123">
        <v>1.2759667811134687</v>
      </c>
    </row>
    <row r="95" spans="1:28">
      <c r="A95" s="1124" t="s">
        <v>1060</v>
      </c>
      <c r="B95" s="1124"/>
      <c r="C95" s="1124"/>
      <c r="D95" s="1124"/>
      <c r="E95" s="1124"/>
      <c r="F95" s="1124"/>
      <c r="G95" s="1127"/>
      <c r="H95" s="1127"/>
      <c r="I95" s="1127"/>
      <c r="J95" s="1127"/>
      <c r="K95" s="1127"/>
      <c r="L95" s="1127"/>
      <c r="M95" s="1127"/>
      <c r="N95" s="1127"/>
      <c r="O95" s="1127"/>
      <c r="P95" s="1127"/>
      <c r="Q95" s="1127"/>
      <c r="R95" s="1127"/>
      <c r="S95" s="1127"/>
      <c r="T95" s="1127"/>
      <c r="U95" s="1127"/>
      <c r="V95" s="1127"/>
      <c r="W95" t="s">
        <v>1063</v>
      </c>
      <c r="X95" s="968">
        <v>0.49833754031692484</v>
      </c>
      <c r="Y95" s="968">
        <v>0.87675021181139867</v>
      </c>
      <c r="Z95" s="968">
        <v>2.3077760272136798</v>
      </c>
      <c r="AA95" s="968">
        <v>3.1256203051170219</v>
      </c>
      <c r="AB95" s="1123">
        <v>0.79438001297309957</v>
      </c>
    </row>
    <row r="96" spans="1:28">
      <c r="A96" s="1127" t="s">
        <v>1062</v>
      </c>
      <c r="B96" s="1127"/>
      <c r="C96" s="1127"/>
      <c r="D96" s="1127"/>
      <c r="E96" s="1127"/>
      <c r="F96" s="1127"/>
      <c r="G96" s="1130"/>
      <c r="H96" s="1130"/>
      <c r="I96" s="1130"/>
      <c r="J96" s="1130"/>
      <c r="K96" s="1130"/>
      <c r="L96" s="1130"/>
      <c r="M96" s="1130"/>
      <c r="N96" s="1130"/>
      <c r="O96" s="1130"/>
      <c r="P96" s="1130"/>
      <c r="Q96" s="1130"/>
      <c r="R96" s="1130"/>
      <c r="S96" s="1130"/>
      <c r="T96" s="1130"/>
      <c r="U96" s="1130"/>
      <c r="V96" s="1130"/>
      <c r="W96" t="s">
        <v>1065</v>
      </c>
      <c r="X96" s="1129">
        <v>0.90246668300703736</v>
      </c>
      <c r="Y96" s="968">
        <v>1.3990184844936182</v>
      </c>
      <c r="Z96" s="968">
        <v>2.9323789664798681</v>
      </c>
      <c r="AA96" s="968">
        <v>2.9381764558602566</v>
      </c>
      <c r="AB96" s="1123">
        <v>1.3079248656898801</v>
      </c>
    </row>
    <row r="97" spans="1:28">
      <c r="A97" s="1130" t="s">
        <v>1064</v>
      </c>
      <c r="B97" s="1130"/>
      <c r="C97" s="1130"/>
      <c r="D97" s="1130"/>
      <c r="E97" s="1130"/>
      <c r="F97" s="1130"/>
      <c r="G97" s="1124"/>
      <c r="H97" s="1124"/>
      <c r="I97" s="1124"/>
      <c r="J97" s="1124"/>
      <c r="K97" s="1124"/>
      <c r="L97" s="1124"/>
      <c r="M97" s="1124"/>
      <c r="N97" s="1124"/>
      <c r="O97" s="1124"/>
      <c r="P97" s="1124"/>
      <c r="Q97" s="1124"/>
      <c r="R97" s="1124"/>
      <c r="S97" s="1124"/>
      <c r="T97" s="1124"/>
      <c r="U97" s="1124"/>
      <c r="V97" s="1124"/>
      <c r="W97" s="10" t="s">
        <v>1067</v>
      </c>
      <c r="X97" s="968">
        <v>0.78234378161025708</v>
      </c>
      <c r="Y97" s="968">
        <v>1.2290874621750383</v>
      </c>
      <c r="Z97" s="968">
        <v>2.3077760272136798</v>
      </c>
      <c r="AA97" s="968">
        <v>3.1256203051170219</v>
      </c>
      <c r="AB97" s="1123">
        <v>1.7471224394562539</v>
      </c>
    </row>
    <row r="98" spans="1:28">
      <c r="A98" s="1124" t="s">
        <v>1066</v>
      </c>
      <c r="B98" s="1124"/>
      <c r="C98" s="1124"/>
      <c r="D98" s="1124"/>
      <c r="E98" s="1124"/>
      <c r="F98" s="1124"/>
      <c r="G98" s="1131"/>
      <c r="H98" s="1131"/>
      <c r="I98" s="1131"/>
      <c r="J98" s="1131"/>
      <c r="K98" s="1131"/>
      <c r="L98" s="1131"/>
      <c r="M98" s="1131"/>
      <c r="N98" s="1131"/>
      <c r="O98" s="1131"/>
      <c r="P98" s="1131"/>
      <c r="Q98" s="1131"/>
      <c r="R98" s="1131"/>
      <c r="S98" s="1131"/>
      <c r="T98" s="1131"/>
      <c r="U98" s="1131"/>
      <c r="V98" s="1131"/>
      <c r="W98" s="1132" t="s">
        <v>10</v>
      </c>
      <c r="X98" s="186"/>
      <c r="Y98" s="186"/>
      <c r="Z98" s="186">
        <v>9.4339999999999993</v>
      </c>
      <c r="AA98" s="186"/>
      <c r="AB98" s="186"/>
    </row>
    <row r="99" spans="1:28">
      <c r="A99" s="1131" t="s">
        <v>1068</v>
      </c>
      <c r="B99" s="1131"/>
      <c r="C99" s="1131"/>
      <c r="D99" s="1131"/>
      <c r="E99" s="1131"/>
      <c r="F99" s="1131"/>
      <c r="G99" s="1133"/>
      <c r="H99" s="1133"/>
      <c r="I99" s="1133"/>
      <c r="J99" s="1133"/>
      <c r="K99" s="1133"/>
      <c r="L99" s="1133"/>
      <c r="M99" s="1133"/>
      <c r="N99" s="1133"/>
      <c r="O99" s="1133"/>
      <c r="P99" s="1133"/>
      <c r="Q99" s="1133"/>
      <c r="R99" s="1133"/>
      <c r="S99" s="1133"/>
      <c r="T99" s="1133"/>
      <c r="U99" s="1133"/>
      <c r="V99" s="1133"/>
      <c r="W99" s="1134" t="s">
        <v>1070</v>
      </c>
      <c r="X99" s="186"/>
      <c r="Y99" s="186"/>
      <c r="Z99" s="186">
        <v>14.151</v>
      </c>
      <c r="AA99" s="186"/>
      <c r="AB99" s="186"/>
    </row>
    <row r="100" spans="1:28">
      <c r="A100" s="1133" t="s">
        <v>1069</v>
      </c>
      <c r="B100" s="1133"/>
      <c r="C100" s="1133"/>
      <c r="D100" s="1133"/>
      <c r="E100" s="1133"/>
      <c r="F100" s="1133"/>
      <c r="G100" s="1127"/>
      <c r="H100" s="1127"/>
      <c r="I100" s="1127"/>
      <c r="J100" s="1127"/>
      <c r="K100" s="1127"/>
      <c r="L100" s="1127"/>
      <c r="M100" s="1127"/>
      <c r="N100" s="1127"/>
      <c r="O100" s="1127"/>
      <c r="P100" s="1127"/>
      <c r="Q100" s="1127"/>
      <c r="R100" s="1127"/>
      <c r="S100" s="1127"/>
      <c r="T100" s="1127"/>
      <c r="U100" s="1127"/>
      <c r="V100" s="1127"/>
      <c r="W100" t="s">
        <v>1072</v>
      </c>
      <c r="X100" s="968">
        <v>0.63224723725967402</v>
      </c>
      <c r="Y100" s="968">
        <v>0.93742665362039157</v>
      </c>
      <c r="Z100" s="968">
        <v>1.6767731178102689</v>
      </c>
      <c r="AA100" s="1129">
        <v>4.9330213205456088</v>
      </c>
      <c r="AB100" s="1123">
        <v>0.95396807828885888</v>
      </c>
    </row>
    <row r="101" spans="1:28">
      <c r="A101" s="1127" t="s">
        <v>1071</v>
      </c>
      <c r="B101" s="1127"/>
      <c r="C101" s="1127"/>
      <c r="D101" s="1127"/>
      <c r="E101" s="1127"/>
      <c r="F101" s="1127"/>
      <c r="G101" s="1135"/>
      <c r="H101" s="1135"/>
      <c r="I101" s="1135"/>
      <c r="J101" s="1135"/>
      <c r="K101" s="1135"/>
      <c r="L101" s="1135"/>
      <c r="M101" s="1135"/>
      <c r="N101" s="1135"/>
      <c r="O101" s="1135"/>
      <c r="P101" s="1135"/>
      <c r="Q101" s="1135"/>
      <c r="R101" s="1135"/>
      <c r="S101" s="1135"/>
      <c r="T101" s="1135"/>
      <c r="U101" s="1135"/>
      <c r="V101" s="1135"/>
      <c r="W101" s="186" t="s">
        <v>1074</v>
      </c>
      <c r="X101" s="968">
        <v>0.49833754031692484</v>
      </c>
      <c r="Y101" s="968">
        <v>0.87675021181139867</v>
      </c>
      <c r="Z101" s="968">
        <v>2.3077760272136798</v>
      </c>
      <c r="AA101" s="968">
        <v>2.9381764558602566</v>
      </c>
      <c r="AB101" s="1123">
        <v>0.79497927069157726</v>
      </c>
    </row>
    <row r="102" spans="1:28" ht="16.5" thickBot="1">
      <c r="A102" s="1135" t="s">
        <v>1073</v>
      </c>
      <c r="B102" s="1135"/>
      <c r="C102" s="1135"/>
      <c r="D102" s="1135"/>
      <c r="E102" s="1135"/>
      <c r="F102" s="1135"/>
      <c r="G102" s="1136"/>
      <c r="H102" s="1136"/>
      <c r="I102" s="1136"/>
      <c r="J102" s="1136"/>
      <c r="K102" s="1136"/>
      <c r="L102" s="1136"/>
      <c r="M102" s="1136"/>
      <c r="N102" s="1136"/>
      <c r="O102" s="1136"/>
      <c r="P102" s="1136"/>
      <c r="Q102" s="1136"/>
      <c r="R102" s="1136"/>
      <c r="S102" s="1136"/>
      <c r="T102" s="1136"/>
      <c r="U102" s="1136"/>
      <c r="V102" s="1136"/>
      <c r="W102" s="354" t="s">
        <v>1076</v>
      </c>
      <c r="X102" s="354"/>
      <c r="Y102" s="354"/>
      <c r="Z102" s="354"/>
      <c r="AA102" s="354"/>
      <c r="AB102" s="354"/>
    </row>
    <row r="103" spans="1:28" ht="17.25" thickTop="1" thickBot="1">
      <c r="A103" s="1136" t="s">
        <v>1075</v>
      </c>
      <c r="B103" s="1136"/>
      <c r="C103" s="1136"/>
      <c r="D103" s="1136"/>
      <c r="E103" s="1136"/>
      <c r="F103" s="1136"/>
    </row>
    <row r="104" spans="1:28" ht="16.5" thickTop="1">
      <c r="W104" t="s">
        <v>1077</v>
      </c>
      <c r="X104" s="966">
        <f>AVERAGE(X64:X101)</f>
        <v>0.7248636708942261</v>
      </c>
      <c r="Y104" s="966">
        <f>AVERAGE(Y64:Y101)</f>
        <v>1.0936691185547331</v>
      </c>
      <c r="Z104" s="966">
        <v>2.4529223395214443</v>
      </c>
      <c r="AA104" s="966">
        <f>AVERAGE(AA64:AA101)</f>
        <v>3.0250161825612256</v>
      </c>
    </row>
    <row r="105" spans="1:28">
      <c r="W105" t="s">
        <v>1078</v>
      </c>
      <c r="X105" s="966">
        <f>MEDIAN(X64:X101)</f>
        <v>0.71321963924010312</v>
      </c>
      <c r="Y105" s="966">
        <f>MEDIAN(Y64:Y101)</f>
        <v>1.0110027395726804</v>
      </c>
      <c r="Z105" s="966">
        <v>2.4138647175284009</v>
      </c>
      <c r="AA105" s="966">
        <f>MEDIAN(AA64:AA101)</f>
        <v>2.9381764558602566</v>
      </c>
    </row>
    <row r="106" spans="1:28">
      <c r="W106" t="s">
        <v>1079</v>
      </c>
      <c r="X106" s="966">
        <f>STDEV(X64:X101)</f>
        <v>0.16703859217858863</v>
      </c>
      <c r="Y106" s="966">
        <f>STDEV(Y64:Y101)</f>
        <v>0.25133637650496665</v>
      </c>
      <c r="Z106" s="966">
        <v>0.52890099045332473</v>
      </c>
      <c r="AA106" s="966">
        <f>STDEV(AA64:AA101)</f>
        <v>0.65549359985849098</v>
      </c>
    </row>
    <row r="107" spans="1:28">
      <c r="W107" s="1137" t="s">
        <v>1080</v>
      </c>
      <c r="X107" s="966">
        <f>X105+2*X106</f>
        <v>1.0472968235972804</v>
      </c>
      <c r="Y107" s="966">
        <f>Y105+2*Y106</f>
        <v>1.5136754925826137</v>
      </c>
      <c r="Z107" s="966">
        <f>Z105+2*Z106</f>
        <v>3.4716666984350502</v>
      </c>
      <c r="AA107" s="966">
        <f>AA105+2*AA106</f>
        <v>4.2491636555772381</v>
      </c>
    </row>
    <row r="108" spans="1:28">
      <c r="W108" s="1137"/>
      <c r="X108" s="966"/>
      <c r="Y108" s="966"/>
      <c r="Z108" s="966"/>
      <c r="AA108" s="966"/>
    </row>
    <row r="109" spans="1:28">
      <c r="W109" t="s">
        <v>1077</v>
      </c>
      <c r="X109" s="966">
        <f>AVERAGE(X64:X101)</f>
        <v>0.7248636708942261</v>
      </c>
      <c r="Y109" s="966">
        <f>AVERAGE(Y64:Y101)</f>
        <v>1.0936691185547331</v>
      </c>
      <c r="Z109" s="966">
        <f>AVERAGE(Z64:Z101)</f>
        <v>3.1713513903274868</v>
      </c>
      <c r="AA109" s="966">
        <f>AVERAGE(AA64:AA101)</f>
        <v>3.0250161825612256</v>
      </c>
    </row>
    <row r="110" spans="1:28">
      <c r="W110" t="s">
        <v>1078</v>
      </c>
      <c r="X110" s="966">
        <f>MEDIAN(X64:X101)</f>
        <v>0.71321963924010312</v>
      </c>
      <c r="Y110" s="966">
        <f>MEDIAN(Y64:Y101)</f>
        <v>1.0110027395726804</v>
      </c>
      <c r="Z110" s="966">
        <f>MEDIAN(Z64:Z101)</f>
        <v>2.5199534078431221</v>
      </c>
      <c r="AA110" s="966">
        <f>MEDIAN(AA64:AA101)</f>
        <v>2.9381764558602566</v>
      </c>
    </row>
    <row r="111" spans="1:28">
      <c r="W111" t="s">
        <v>1079</v>
      </c>
      <c r="X111" s="966">
        <f>STDEV(X64:X101)</f>
        <v>0.16703859217858863</v>
      </c>
      <c r="Y111" s="966">
        <f>STDEV(Y64:Y101)</f>
        <v>0.25133637650496665</v>
      </c>
      <c r="Z111" s="966">
        <f>STDEV(Z64:Z101)</f>
        <v>2.672786952619187</v>
      </c>
      <c r="AA111" s="966">
        <f>STDEV(AA64:AA101)</f>
        <v>0.65549359985849098</v>
      </c>
    </row>
    <row r="112" spans="1:28">
      <c r="X112" s="966">
        <f>X110+2*X111</f>
        <v>1.0472968235972804</v>
      </c>
      <c r="Y112" s="966">
        <f>Y110+2*Y111</f>
        <v>1.5136754925826137</v>
      </c>
      <c r="Z112" s="966">
        <f>Z110+2*Z111</f>
        <v>7.865527313081496</v>
      </c>
      <c r="AA112" s="966">
        <f>AA110+2*AA111</f>
        <v>4.2491636555772381</v>
      </c>
    </row>
  </sheetData>
  <phoneticPr fontId="52" type="noConversion"/>
  <pageMargins left="0.75" right="0.75" top="1" bottom="1" header="0.5" footer="0.5"/>
  <pageSetup scale="20" orientation="portrait" horizontalDpi="4294967292" verticalDpi="4294967292" copies="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2"/>
  <sheetViews>
    <sheetView topLeftCell="A2" zoomScale="125" workbookViewId="0">
      <selection activeCell="E24" sqref="E24:J24"/>
    </sheetView>
  </sheetViews>
  <sheetFormatPr defaultColWidth="11" defaultRowHeight="15.75"/>
  <cols>
    <col min="1" max="1" width="28.375" customWidth="1"/>
    <col min="2" max="2" width="17" customWidth="1"/>
    <col min="3" max="4" width="16" customWidth="1"/>
    <col min="5" max="5" width="15" customWidth="1"/>
    <col min="6" max="6" width="16" customWidth="1"/>
    <col min="7" max="7" width="15" customWidth="1"/>
    <col min="8" max="8" width="14.375" customWidth="1"/>
    <col min="9" max="9" width="16.375" customWidth="1"/>
    <col min="10" max="10" width="14.375" customWidth="1"/>
    <col min="11" max="11" width="20.625" customWidth="1"/>
    <col min="12" max="12" width="14.375" customWidth="1"/>
  </cols>
  <sheetData>
    <row r="1" spans="1:11">
      <c r="A1" t="s">
        <v>1386</v>
      </c>
      <c r="D1" t="s">
        <v>1397</v>
      </c>
    </row>
    <row r="2" spans="1:11">
      <c r="A2" t="s">
        <v>1395</v>
      </c>
      <c r="B2" s="1093">
        <v>7.3999999999999996E-2</v>
      </c>
    </row>
    <row r="3" spans="1:11">
      <c r="B3" s="185">
        <f>B7-SUM(B11,B13,B14,B15,B16,B20,B21,B22)</f>
        <v>4833807.7699999996</v>
      </c>
      <c r="C3" s="185">
        <f>C7-SUM(C11,C13,C14,C15,C16,C20,C21,C22)</f>
        <v>4413683.4279999994</v>
      </c>
      <c r="D3" s="185">
        <f>D7-SUM(D11,D13,D14,D15,D16,D20,D21,D22)</f>
        <v>4620776.3619999997</v>
      </c>
      <c r="E3" s="185">
        <f>E7-SUM(E11,E13,E14,E15,E16,E20,E21,E22)</f>
        <v>4667833.137529999</v>
      </c>
    </row>
    <row r="4" spans="1:11">
      <c r="A4" s="185">
        <f>AVERAGE(B3,D3,E3)</f>
        <v>4707472.4231766658</v>
      </c>
      <c r="B4" s="1779" t="s">
        <v>891</v>
      </c>
      <c r="C4" s="1779" t="s">
        <v>893</v>
      </c>
      <c r="D4" s="1779" t="s">
        <v>1393</v>
      </c>
      <c r="E4" s="1779" t="s">
        <v>1744</v>
      </c>
      <c r="G4" t="s">
        <v>891</v>
      </c>
      <c r="H4" t="s">
        <v>893</v>
      </c>
      <c r="I4" t="s">
        <v>1393</v>
      </c>
      <c r="J4" t="s">
        <v>1744</v>
      </c>
    </row>
    <row r="5" spans="1:11">
      <c r="B5" s="314" t="s">
        <v>1</v>
      </c>
      <c r="G5" s="314" t="s">
        <v>10</v>
      </c>
      <c r="I5" s="314"/>
    </row>
    <row r="6" spans="1:11">
      <c r="A6" t="s">
        <v>1752</v>
      </c>
      <c r="B6" s="213">
        <v>24513720</v>
      </c>
      <c r="C6" s="213">
        <v>24909417</v>
      </c>
      <c r="D6" s="213">
        <f>26449266-188404</f>
        <v>26260862</v>
      </c>
      <c r="E6" s="213"/>
      <c r="F6" s="213"/>
      <c r="G6" s="213">
        <v>12573591</v>
      </c>
      <c r="H6" s="213">
        <v>12737398</v>
      </c>
      <c r="I6" s="213">
        <f>12713783-143690</f>
        <v>12570093</v>
      </c>
    </row>
    <row r="7" spans="1:11">
      <c r="A7" t="s">
        <v>1831</v>
      </c>
      <c r="B7" s="213">
        <v>24513720</v>
      </c>
      <c r="C7" s="213">
        <v>25045169</v>
      </c>
      <c r="D7" s="213">
        <v>26738854</v>
      </c>
      <c r="E7" s="1446">
        <v>27954493</v>
      </c>
      <c r="F7" s="213"/>
      <c r="G7" s="213">
        <f>SUM(G11:G22)</f>
        <v>12506581.745999999</v>
      </c>
      <c r="H7" s="213">
        <f>SUM(H11:H22)</f>
        <v>12552380.036</v>
      </c>
      <c r="I7" s="213">
        <f>SUM(I11:I22)</f>
        <v>13586779.448000001</v>
      </c>
      <c r="J7" s="213">
        <f>SUM(J11:J22)</f>
        <v>13027907.5295</v>
      </c>
    </row>
    <row r="8" spans="1:11">
      <c r="B8" s="213"/>
      <c r="C8" s="213"/>
      <c r="D8" s="213"/>
      <c r="E8" s="213"/>
      <c r="F8" s="213"/>
      <c r="G8" s="185" t="s">
        <v>1894</v>
      </c>
      <c r="H8" s="213"/>
      <c r="I8" s="213"/>
      <c r="J8" s="213">
        <v>12802640</v>
      </c>
    </row>
    <row r="9" spans="1:11">
      <c r="B9" s="213"/>
      <c r="C9" s="213"/>
      <c r="D9" s="213"/>
      <c r="E9" s="213"/>
      <c r="F9" s="213"/>
      <c r="G9" s="213"/>
      <c r="I9" s="213"/>
    </row>
    <row r="10" spans="1:11">
      <c r="A10" t="s">
        <v>1750</v>
      </c>
      <c r="B10" s="213"/>
      <c r="C10" s="213"/>
      <c r="D10" s="213"/>
      <c r="E10" s="213"/>
      <c r="F10" s="213"/>
      <c r="G10" s="213"/>
      <c r="I10" s="213"/>
    </row>
    <row r="11" spans="1:11">
      <c r="A11" s="1781" t="s">
        <v>869</v>
      </c>
      <c r="B11" s="1445">
        <f>B30</f>
        <v>6353802</v>
      </c>
      <c r="C11" s="1445">
        <f>C30</f>
        <v>7578675</v>
      </c>
      <c r="D11" s="1445">
        <f>D30</f>
        <v>8374537</v>
      </c>
      <c r="E11" s="213">
        <f>E30</f>
        <v>9119356.3200000003</v>
      </c>
      <c r="F11" s="213"/>
      <c r="G11" s="1444">
        <f>G30</f>
        <v>8990139</v>
      </c>
      <c r="H11" s="1444">
        <f>H30</f>
        <v>9703932</v>
      </c>
      <c r="I11" s="1445">
        <f>I30</f>
        <v>10344138</v>
      </c>
      <c r="J11" s="1445">
        <f>J30</f>
        <v>9954900</v>
      </c>
    </row>
    <row r="12" spans="1:11">
      <c r="A12" s="1781" t="s">
        <v>889</v>
      </c>
      <c r="B12" s="213"/>
      <c r="C12" s="213"/>
      <c r="D12" s="213"/>
      <c r="E12" s="213"/>
      <c r="F12" s="213"/>
      <c r="G12" s="213"/>
      <c r="H12" s="213"/>
      <c r="I12" s="1446"/>
    </row>
    <row r="13" spans="1:11">
      <c r="A13" s="1781" t="s">
        <v>874</v>
      </c>
      <c r="B13" s="213">
        <v>0</v>
      </c>
      <c r="C13" s="213">
        <v>0</v>
      </c>
      <c r="D13" s="213">
        <v>0</v>
      </c>
      <c r="E13" s="213"/>
      <c r="F13" s="213"/>
      <c r="G13" s="213">
        <v>112980</v>
      </c>
      <c r="H13" s="213">
        <v>120865</v>
      </c>
      <c r="I13" s="1446">
        <v>128000</v>
      </c>
      <c r="J13" s="185">
        <f>1.04*I13</f>
        <v>133120</v>
      </c>
      <c r="K13" s="185"/>
    </row>
    <row r="14" spans="1:11">
      <c r="A14" s="1781" t="s">
        <v>872</v>
      </c>
      <c r="B14" s="1444">
        <v>3572814</v>
      </c>
      <c r="C14" s="1444">
        <v>3665707</v>
      </c>
      <c r="D14" s="1445">
        <v>3808670</v>
      </c>
      <c r="E14" s="1446">
        <f>3957208</f>
        <v>3957208</v>
      </c>
      <c r="F14" s="1782">
        <f>D14/C14</f>
        <v>1.0390001164850327</v>
      </c>
      <c r="G14" s="1444">
        <v>1070531</v>
      </c>
      <c r="H14" s="1444">
        <v>1098365</v>
      </c>
      <c r="I14" s="1445">
        <v>1141201</v>
      </c>
      <c r="J14" s="213">
        <f>1.025*I14</f>
        <v>1169731.0249999999</v>
      </c>
    </row>
    <row r="15" spans="1:11">
      <c r="A15" s="1781" t="s">
        <v>873</v>
      </c>
      <c r="B15" s="213">
        <f>106012428-105212710</f>
        <v>799718</v>
      </c>
      <c r="C15" s="213">
        <v>750062</v>
      </c>
      <c r="D15" s="1446">
        <v>755621</v>
      </c>
      <c r="E15" s="213">
        <f>1.025*D15</f>
        <v>774511.52499999991</v>
      </c>
      <c r="F15" s="213"/>
      <c r="G15" s="213">
        <f>106012428-104517290</f>
        <v>1495138</v>
      </c>
      <c r="H15" s="213">
        <v>1427852</v>
      </c>
      <c r="I15" s="1446">
        <v>1454209</v>
      </c>
      <c r="J15" s="213">
        <f>1.025*I15</f>
        <v>1490564.2249999999</v>
      </c>
    </row>
    <row r="16" spans="1:11">
      <c r="A16" s="1781" t="s">
        <v>1389</v>
      </c>
      <c r="B16" s="1833">
        <f>-($B2)*(SUM(B11:B15)+SUM(B20,B21,B22))</f>
        <v>-1572692.77</v>
      </c>
      <c r="C16" s="1447">
        <f>-($B2)*(SUM(C11:C15)+SUM(C20,C21,C22))</f>
        <v>-1648736.4279999998</v>
      </c>
      <c r="D16" s="1447">
        <f>-($B2)*(SUM(D11:D15)+SUM(D20,D21,D22))</f>
        <v>-1767535.362</v>
      </c>
      <c r="E16" s="1447">
        <f>-($B2)*(SUM(E11:E15)+SUM(E20,E21,E22))</f>
        <v>-1860920.9825299999</v>
      </c>
      <c r="F16" s="185"/>
      <c r="G16" s="1447">
        <f>-($B2)*(SUM(G11:G15)+SUM(G20,G21,G22))</f>
        <v>-959489.25399999996</v>
      </c>
      <c r="H16" s="1447">
        <f>-($B2)*(SUM(H11:H15)+SUM(H20,H21,H22))</f>
        <v>-1003105.9639999999</v>
      </c>
      <c r="I16" s="1447">
        <f>-($B2)*(SUM(I11:I15)+SUM(I20,I21,I22))</f>
        <v>-1085768.5519999999</v>
      </c>
      <c r="J16" s="1447">
        <f>-($B2)*(SUM(J11:J15)+SUM(J20,J21,J22))</f>
        <v>-1057017.7205000001</v>
      </c>
    </row>
    <row r="17" spans="1:12">
      <c r="A17" s="1781" t="s">
        <v>1318</v>
      </c>
      <c r="B17" s="213">
        <f>B7-SUM(B11,B13,B14,B15,B16,B20,B21,B22)</f>
        <v>4833807.7699999996</v>
      </c>
      <c r="C17" s="213">
        <f>C7-SUM(C11,C13,C14,C15,C16,C20,C21,C22)</f>
        <v>4413683.4279999994</v>
      </c>
      <c r="D17" s="213">
        <f>D7-SUM(D11,D13,D14,D15,D16,D20,D21,D22)</f>
        <v>4620776.3619999997</v>
      </c>
      <c r="E17" s="185">
        <f>ROUND(AVERAGE(B17:D17),-4)</f>
        <v>4620000</v>
      </c>
      <c r="G17" s="213">
        <v>500000</v>
      </c>
      <c r="H17" s="213"/>
      <c r="I17" s="1446"/>
      <c r="J17" s="185"/>
    </row>
    <row r="19" spans="1:12">
      <c r="A19" s="344" t="s">
        <v>1751</v>
      </c>
      <c r="B19" s="213"/>
      <c r="C19" s="213"/>
      <c r="D19" s="213"/>
      <c r="E19" s="213"/>
      <c r="F19" s="213"/>
      <c r="G19" s="213"/>
      <c r="H19" s="213"/>
      <c r="I19" s="346"/>
      <c r="J19" s="185">
        <f>-0.02*J30</f>
        <v>-199098</v>
      </c>
      <c r="K19" t="s">
        <v>1830</v>
      </c>
    </row>
    <row r="20" spans="1:12">
      <c r="A20" s="1781" t="s">
        <v>870</v>
      </c>
      <c r="B20" s="213">
        <v>774358</v>
      </c>
      <c r="C20" s="213">
        <v>654962</v>
      </c>
      <c r="D20" s="213">
        <v>595000</v>
      </c>
      <c r="E20" s="213">
        <v>692000</v>
      </c>
      <c r="F20" s="213"/>
      <c r="G20" s="213">
        <v>962283</v>
      </c>
      <c r="H20" s="213">
        <v>854472</v>
      </c>
      <c r="I20" s="1446">
        <v>1265000</v>
      </c>
      <c r="J20" s="1446">
        <v>1185708</v>
      </c>
    </row>
    <row r="21" spans="1:12">
      <c r="A21" s="1781" t="s">
        <v>871</v>
      </c>
      <c r="B21" s="213">
        <v>8483839</v>
      </c>
      <c r="C21" s="213">
        <v>8327772</v>
      </c>
      <c r="D21" s="213">
        <v>9000000</v>
      </c>
      <c r="E21" s="213">
        <v>9200000</v>
      </c>
      <c r="F21" s="213"/>
      <c r="G21" s="213">
        <v>335000</v>
      </c>
      <c r="H21" s="213">
        <f>'Step 1 Dedicated Funds'!R24</f>
        <v>350000</v>
      </c>
      <c r="I21" s="1446">
        <v>340000</v>
      </c>
      <c r="J21" s="1446">
        <v>350000</v>
      </c>
    </row>
    <row r="22" spans="1:12">
      <c r="A22" s="1781" t="s">
        <v>1394</v>
      </c>
      <c r="B22" s="1444">
        <v>1268074</v>
      </c>
      <c r="C22" s="1444">
        <v>1303044</v>
      </c>
      <c r="D22" s="1445">
        <v>1351785</v>
      </c>
      <c r="E22" s="213">
        <v>1404505</v>
      </c>
      <c r="F22" s="213"/>
      <c r="G22" s="1444">
        <v>0</v>
      </c>
      <c r="H22" s="1444">
        <f>G22</f>
        <v>0</v>
      </c>
      <c r="I22" s="1445"/>
      <c r="J22" s="213">
        <f>1.025*I22</f>
        <v>0</v>
      </c>
    </row>
    <row r="23" spans="1:12">
      <c r="I23" s="1447"/>
    </row>
    <row r="24" spans="1:12">
      <c r="A24" t="s">
        <v>1753</v>
      </c>
      <c r="B24" s="185">
        <f>SUM(B11:B22)</f>
        <v>24513720</v>
      </c>
      <c r="C24" s="185">
        <f>SUM(C11:C22)</f>
        <v>25045169</v>
      </c>
      <c r="D24" s="185">
        <f>SUM(D11:D22)</f>
        <v>26738854</v>
      </c>
      <c r="E24" s="185">
        <f>SUM(E11:E22)</f>
        <v>27906659.862470001</v>
      </c>
      <c r="G24" s="185">
        <f>SUM(G11:G22)</f>
        <v>12506581.745999999</v>
      </c>
      <c r="H24" s="185">
        <f>SUM(H11:H22)</f>
        <v>12552380.036</v>
      </c>
      <c r="I24" s="185">
        <f>SUM(I11:I22)</f>
        <v>13586779.448000001</v>
      </c>
      <c r="J24" s="185">
        <f>SUM(J11:J22)</f>
        <v>13027907.5295</v>
      </c>
    </row>
    <row r="25" spans="1:12">
      <c r="C25" s="213"/>
      <c r="D25" s="213"/>
      <c r="E25" s="213"/>
      <c r="F25" s="213"/>
      <c r="G25" s="185"/>
      <c r="H25" s="185"/>
      <c r="I25" s="185"/>
    </row>
    <row r="26" spans="1:12">
      <c r="I26" s="346"/>
    </row>
    <row r="27" spans="1:12">
      <c r="A27" t="s">
        <v>1387</v>
      </c>
      <c r="B27" s="213">
        <v>3397454</v>
      </c>
      <c r="C27" s="213">
        <v>3650513</v>
      </c>
      <c r="D27" s="1446">
        <v>3848424</v>
      </c>
      <c r="E27" s="12">
        <f>E40</f>
        <v>3478375.92</v>
      </c>
      <c r="G27" s="213">
        <v>6285943</v>
      </c>
      <c r="H27" s="213">
        <v>6771227</v>
      </c>
      <c r="I27" s="1446">
        <v>7353447</v>
      </c>
      <c r="J27" s="1832">
        <f>J40</f>
        <v>6987060</v>
      </c>
    </row>
    <row r="28" spans="1:12">
      <c r="A28" t="s">
        <v>1388</v>
      </c>
      <c r="B28" s="213">
        <v>2599948</v>
      </c>
      <c r="C28" s="213">
        <v>3442162</v>
      </c>
      <c r="D28" s="1446">
        <v>4072513</v>
      </c>
      <c r="E28" s="12">
        <f>E41</f>
        <v>5640980.4000000004</v>
      </c>
      <c r="G28" s="213">
        <v>2704196</v>
      </c>
      <c r="H28" s="213">
        <v>2932705</v>
      </c>
      <c r="I28" s="1446">
        <v>2990691</v>
      </c>
      <c r="J28" s="1832">
        <f>J41</f>
        <v>2967840</v>
      </c>
    </row>
    <row r="29" spans="1:12">
      <c r="A29" t="s">
        <v>1390</v>
      </c>
      <c r="B29" s="213">
        <v>356400</v>
      </c>
      <c r="C29" s="213">
        <v>486000</v>
      </c>
      <c r="D29" s="1446">
        <v>453600</v>
      </c>
      <c r="J29" s="346"/>
    </row>
    <row r="30" spans="1:12">
      <c r="B30" s="213">
        <f>SUM(B27:B29)</f>
        <v>6353802</v>
      </c>
      <c r="C30" s="213">
        <f>SUM(C27:C29)</f>
        <v>7578675</v>
      </c>
      <c r="D30" s="213">
        <f>SUM(D27:D29)</f>
        <v>8374537</v>
      </c>
      <c r="E30" s="12">
        <f>SUM(E27:E29)</f>
        <v>9119356.3200000003</v>
      </c>
      <c r="G30" s="213">
        <f>SUM(G27:G28)</f>
        <v>8990139</v>
      </c>
      <c r="H30" s="213">
        <f>SUM(H27:H28)</f>
        <v>9703932</v>
      </c>
      <c r="I30" s="1446">
        <f>SUM(I27:I28)</f>
        <v>10344138</v>
      </c>
      <c r="J30" s="1446">
        <f>SUM(J27:J28)</f>
        <v>9954900</v>
      </c>
    </row>
    <row r="31" spans="1:12">
      <c r="B31" s="213"/>
      <c r="C31" s="213"/>
      <c r="D31" s="213"/>
      <c r="L31" s="185"/>
    </row>
    <row r="32" spans="1:12">
      <c r="A32" t="s">
        <v>1391</v>
      </c>
      <c r="B32">
        <v>147</v>
      </c>
      <c r="C32">
        <v>149</v>
      </c>
      <c r="D32">
        <v>148</v>
      </c>
      <c r="E32">
        <v>148</v>
      </c>
      <c r="G32">
        <v>274</v>
      </c>
      <c r="H32">
        <v>285</v>
      </c>
      <c r="I32">
        <v>285</v>
      </c>
      <c r="J32">
        <v>285</v>
      </c>
      <c r="L32" s="185"/>
    </row>
    <row r="33" spans="1:12">
      <c r="A33" t="s">
        <v>1392</v>
      </c>
      <c r="B33">
        <v>72</v>
      </c>
      <c r="C33">
        <v>93</v>
      </c>
      <c r="D33">
        <v>104</v>
      </c>
      <c r="E33">
        <f>72+48</f>
        <v>120</v>
      </c>
      <c r="G33">
        <v>68</v>
      </c>
      <c r="H33">
        <v>73</v>
      </c>
      <c r="I33">
        <v>73</v>
      </c>
      <c r="J33">
        <v>72</v>
      </c>
      <c r="L33" s="185"/>
    </row>
    <row r="34" spans="1:12">
      <c r="A34" t="s">
        <v>13</v>
      </c>
      <c r="B34">
        <f>SUM(B32:B33)</f>
        <v>219</v>
      </c>
      <c r="C34">
        <f>SUM(C32:C33)</f>
        <v>242</v>
      </c>
      <c r="D34">
        <f>SUM(D32:D33)</f>
        <v>252</v>
      </c>
      <c r="E34">
        <f>SUM(E32:E33)</f>
        <v>268</v>
      </c>
      <c r="G34">
        <v>342</v>
      </c>
      <c r="H34">
        <v>358</v>
      </c>
      <c r="I34">
        <v>358</v>
      </c>
      <c r="J34">
        <v>358</v>
      </c>
    </row>
    <row r="35" spans="1:12">
      <c r="L35" s="185"/>
    </row>
    <row r="36" spans="1:12">
      <c r="A36" t="s">
        <v>1396</v>
      </c>
      <c r="B36" s="185">
        <f>B6-SUM(B11,B13,B14,B15,B16,B20,B21,B22)</f>
        <v>4833807.7699999996</v>
      </c>
      <c r="C36" s="185">
        <f>C6-SUM(C11,C13,C14,C15,C16,C20,C21,C22)</f>
        <v>4277931.4279999994</v>
      </c>
      <c r="D36" s="185">
        <f>D6-SUM(D11,D13,D14,D15,D16,D20,D21,D22)</f>
        <v>4142784.3619999997</v>
      </c>
      <c r="G36" s="185">
        <f>G6-SUM(G11,G13,G14,G15,G16,G20,G21,G22)</f>
        <v>567009.25400000066</v>
      </c>
      <c r="H36" s="185">
        <f>H6-SUM(H11,H13,H14,H15,H16,H20,H21,H22)</f>
        <v>185017.96399999969</v>
      </c>
      <c r="I36" s="185">
        <f>I6-SUM(I11,I13,I14,I15,I16,I20,I21,I22)</f>
        <v>-1016686.4480000008</v>
      </c>
      <c r="L36" s="185"/>
    </row>
    <row r="38" spans="1:12">
      <c r="A38" t="s">
        <v>1745</v>
      </c>
      <c r="B38" s="188">
        <v>7169</v>
      </c>
      <c r="C38" s="188">
        <v>7384</v>
      </c>
      <c r="D38" s="188">
        <v>7606</v>
      </c>
      <c r="E38" s="188">
        <f>1.03*D38</f>
        <v>7834.18</v>
      </c>
      <c r="G38" s="188">
        <v>7169</v>
      </c>
      <c r="H38" s="188">
        <v>7384</v>
      </c>
      <c r="I38" s="188">
        <v>7860</v>
      </c>
      <c r="J38" s="188">
        <v>8172</v>
      </c>
    </row>
    <row r="39" spans="1:12">
      <c r="A39" t="s">
        <v>1746</v>
      </c>
      <c r="B39" s="188">
        <v>14339</v>
      </c>
      <c r="C39" s="188">
        <v>14769</v>
      </c>
      <c r="D39" s="188">
        <v>15213</v>
      </c>
      <c r="E39" s="188">
        <f>1.03*D39</f>
        <v>15669.390000000001</v>
      </c>
      <c r="G39" s="188">
        <v>14339</v>
      </c>
      <c r="H39" s="188">
        <v>14769</v>
      </c>
      <c r="I39" s="188">
        <v>13428</v>
      </c>
      <c r="J39" s="188">
        <v>13740</v>
      </c>
    </row>
    <row r="40" spans="1:12">
      <c r="A40" t="s">
        <v>1748</v>
      </c>
      <c r="B40" s="12">
        <f>3*B32*B38</f>
        <v>3161529</v>
      </c>
      <c r="C40" s="12">
        <f>3*C32*C38</f>
        <v>3300648</v>
      </c>
      <c r="D40" s="12">
        <f>3*D32*D38</f>
        <v>3377064</v>
      </c>
      <c r="E40" s="12">
        <f>3*E32*E38</f>
        <v>3478375.92</v>
      </c>
      <c r="G40" s="12">
        <f>3*G32*G38</f>
        <v>5892918</v>
      </c>
      <c r="H40" s="12">
        <f>3*H32*H38</f>
        <v>6313320</v>
      </c>
      <c r="I40" s="12">
        <f>3*I32*I38</f>
        <v>6720300</v>
      </c>
      <c r="J40" s="12">
        <f>3*J32*J38</f>
        <v>6987060</v>
      </c>
    </row>
    <row r="41" spans="1:12">
      <c r="A41" s="344" t="s">
        <v>1749</v>
      </c>
      <c r="B41" s="12">
        <f>B33*3*B39</f>
        <v>3097224</v>
      </c>
      <c r="C41" s="12">
        <f>C33*3*C39</f>
        <v>4120551</v>
      </c>
      <c r="D41" s="12">
        <f>D33*3*D39</f>
        <v>4746456</v>
      </c>
      <c r="E41" s="12">
        <f>E33*3*E39</f>
        <v>5640980.4000000004</v>
      </c>
      <c r="G41" s="12">
        <f>G33*3*G39</f>
        <v>2925156</v>
      </c>
      <c r="H41" s="12">
        <f>H33*3*H39</f>
        <v>3234411</v>
      </c>
      <c r="I41" s="12">
        <f>I33*3*I39</f>
        <v>2940732</v>
      </c>
      <c r="J41" s="12">
        <f>J33*3*J39</f>
        <v>2967840</v>
      </c>
    </row>
    <row r="42" spans="1:12">
      <c r="A42" t="s">
        <v>1747</v>
      </c>
      <c r="B42" s="12">
        <f>SUM(B40:B41)</f>
        <v>6258753</v>
      </c>
      <c r="C42" s="12">
        <f>SUM(C40:C41)</f>
        <v>7421199</v>
      </c>
      <c r="D42" s="12">
        <f>SUM(D40:D41)</f>
        <v>8123520</v>
      </c>
      <c r="E42" s="12">
        <f>SUM(E40:E41)</f>
        <v>9119356.3200000003</v>
      </c>
      <c r="G42" s="12">
        <f>SUM(G40:G41)</f>
        <v>8818074</v>
      </c>
      <c r="H42" s="12">
        <f>SUM(H40:H41)</f>
        <v>9547731</v>
      </c>
      <c r="I42" s="12">
        <f>SUM(I40:I41)</f>
        <v>9661032</v>
      </c>
      <c r="J42" s="12">
        <f>SUM(J40:J41)</f>
        <v>9954900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selection activeCell="A37" sqref="A37:F39"/>
    </sheetView>
  </sheetViews>
  <sheetFormatPr defaultColWidth="11" defaultRowHeight="15.75"/>
  <cols>
    <col min="1" max="1" width="39.5" customWidth="1"/>
    <col min="2" max="2" width="12.125" customWidth="1"/>
    <col min="3" max="3" width="12" customWidth="1"/>
    <col min="4" max="7" width="13" bestFit="1" customWidth="1"/>
  </cols>
  <sheetData>
    <row r="1" spans="1:7">
      <c r="A1" t="s">
        <v>1865</v>
      </c>
    </row>
    <row r="3" spans="1:7">
      <c r="A3" t="s">
        <v>1832</v>
      </c>
      <c r="C3" t="s">
        <v>1833</v>
      </c>
    </row>
    <row r="4" spans="1:7">
      <c r="A4" t="s">
        <v>1834</v>
      </c>
      <c r="C4" t="s">
        <v>1835</v>
      </c>
    </row>
    <row r="6" spans="1:7">
      <c r="A6" s="1842"/>
      <c r="B6" s="1843" t="s">
        <v>812</v>
      </c>
      <c r="C6" s="1843" t="s">
        <v>840</v>
      </c>
      <c r="D6" s="1843" t="s">
        <v>1213</v>
      </c>
      <c r="E6" s="1843" t="s">
        <v>1588</v>
      </c>
      <c r="F6" s="1843" t="s">
        <v>1808</v>
      </c>
    </row>
    <row r="8" spans="1:7">
      <c r="A8" t="s">
        <v>1836</v>
      </c>
    </row>
    <row r="10" spans="1:7">
      <c r="A10" t="s">
        <v>1837</v>
      </c>
      <c r="B10" s="188"/>
      <c r="C10" s="188">
        <v>563242</v>
      </c>
      <c r="D10" s="188">
        <v>1155974</v>
      </c>
      <c r="E10" s="188">
        <v>1785980</v>
      </c>
      <c r="F10" s="188">
        <v>2452746</v>
      </c>
      <c r="G10" s="188"/>
    </row>
    <row r="11" spans="1:7">
      <c r="B11" s="188"/>
      <c r="C11" s="188"/>
      <c r="D11" s="188"/>
      <c r="E11" s="188"/>
      <c r="F11" s="188"/>
      <c r="G11" s="188"/>
    </row>
    <row r="12" spans="1:7">
      <c r="A12" t="s">
        <v>1838</v>
      </c>
      <c r="B12" s="188"/>
      <c r="C12" s="188">
        <f>C10-B10</f>
        <v>563242</v>
      </c>
      <c r="D12" s="188">
        <f t="shared" ref="D12:F12" si="0">D10-C10</f>
        <v>592732</v>
      </c>
      <c r="E12" s="188">
        <f t="shared" si="0"/>
        <v>630006</v>
      </c>
      <c r="F12" s="188">
        <f t="shared" si="0"/>
        <v>666766</v>
      </c>
      <c r="G12" s="188"/>
    </row>
    <row r="13" spans="1:7">
      <c r="A13" t="s">
        <v>1839</v>
      </c>
      <c r="B13" s="188"/>
      <c r="C13" s="188">
        <f>0.03*4106901</f>
        <v>123207.03</v>
      </c>
      <c r="D13" s="188">
        <f>1.03*C13</f>
        <v>126903.2409</v>
      </c>
      <c r="E13" s="188">
        <f t="shared" ref="E13:F13" si="1">1.03*D13</f>
        <v>130710.33812700001</v>
      </c>
      <c r="F13" s="188">
        <f t="shared" si="1"/>
        <v>134631.64827081002</v>
      </c>
      <c r="G13" s="188"/>
    </row>
    <row r="14" spans="1:7">
      <c r="A14" t="s">
        <v>1840</v>
      </c>
      <c r="B14" s="188"/>
      <c r="C14" s="188">
        <v>-744517</v>
      </c>
      <c r="D14" s="188">
        <v>-188404</v>
      </c>
      <c r="E14" s="188"/>
      <c r="F14" s="188"/>
      <c r="G14" s="188"/>
    </row>
    <row r="15" spans="1:7">
      <c r="A15" t="s">
        <v>1841</v>
      </c>
      <c r="B15" s="188"/>
      <c r="C15" s="188"/>
      <c r="D15" s="188">
        <v>168913</v>
      </c>
      <c r="E15" s="188">
        <v>168913</v>
      </c>
      <c r="F15" s="188"/>
      <c r="G15" s="188"/>
    </row>
    <row r="16" spans="1:7">
      <c r="A16" t="s">
        <v>1842</v>
      </c>
      <c r="B16" s="188"/>
      <c r="C16" s="188">
        <v>536963</v>
      </c>
      <c r="D16" s="188">
        <v>0</v>
      </c>
      <c r="E16" s="188">
        <v>0</v>
      </c>
      <c r="F16" s="188">
        <v>0</v>
      </c>
      <c r="G16" s="188"/>
    </row>
    <row r="17" spans="1:7">
      <c r="A17" t="s">
        <v>1843</v>
      </c>
      <c r="B17" s="188"/>
      <c r="C17" s="188">
        <f>162608+694-48085</f>
        <v>115217</v>
      </c>
      <c r="D17" s="188">
        <f>160000+694-48085</f>
        <v>112609</v>
      </c>
      <c r="E17" s="188"/>
      <c r="F17" s="188"/>
      <c r="G17" s="188"/>
    </row>
    <row r="18" spans="1:7">
      <c r="A18" t="s">
        <v>573</v>
      </c>
      <c r="B18" s="188"/>
      <c r="C18" s="188">
        <f>SUM(C12:C17)</f>
        <v>594112.03</v>
      </c>
      <c r="D18" s="188">
        <f t="shared" ref="D18:F18" si="2">SUM(D12:D17)</f>
        <v>812753.24089999998</v>
      </c>
      <c r="E18" s="188">
        <f t="shared" si="2"/>
        <v>929629.33812700002</v>
      </c>
      <c r="F18" s="188">
        <f t="shared" si="2"/>
        <v>801397.64827081002</v>
      </c>
      <c r="G18" s="188"/>
    </row>
    <row r="19" spans="1:7">
      <c r="A19" t="s">
        <v>1844</v>
      </c>
      <c r="B19" s="188"/>
      <c r="C19" s="188"/>
      <c r="D19" s="188"/>
      <c r="E19" s="188"/>
      <c r="F19" s="188"/>
      <c r="G19" s="188"/>
    </row>
    <row r="21" spans="1:7">
      <c r="A21" t="s">
        <v>1845</v>
      </c>
      <c r="B21" s="188"/>
      <c r="C21" s="188"/>
      <c r="D21" s="188"/>
      <c r="E21" s="188"/>
      <c r="F21" s="188"/>
      <c r="G21" s="188"/>
    </row>
    <row r="22" spans="1:7">
      <c r="A22" s="1844" t="s">
        <v>1846</v>
      </c>
      <c r="B22" s="1845">
        <v>11031534</v>
      </c>
      <c r="C22" s="1845">
        <f>B22+C18</f>
        <v>11625646.029999999</v>
      </c>
      <c r="D22" s="1845">
        <f>C22+D18</f>
        <v>12438399.2709</v>
      </c>
      <c r="E22" s="1845">
        <f>D22+E18</f>
        <v>13368028.609027</v>
      </c>
      <c r="F22" s="1845">
        <f>E22+F18</f>
        <v>14169426.25729781</v>
      </c>
      <c r="G22" s="188"/>
    </row>
    <row r="23" spans="1:7">
      <c r="A23" s="1846" t="s">
        <v>1847</v>
      </c>
      <c r="B23" s="1847">
        <v>11031534</v>
      </c>
      <c r="C23" s="1847">
        <v>11489894</v>
      </c>
      <c r="D23" s="1847">
        <v>12148811</v>
      </c>
      <c r="E23" s="1848">
        <v>13480638</v>
      </c>
      <c r="F23" s="1848">
        <v>14394644</v>
      </c>
      <c r="G23" s="188"/>
    </row>
    <row r="24" spans="1:7">
      <c r="A24" t="s">
        <v>1848</v>
      </c>
      <c r="C24" s="12">
        <f>C23-C22</f>
        <v>-135752.02999999933</v>
      </c>
      <c r="D24" s="12">
        <f>D23-D22</f>
        <v>-289588.27089999989</v>
      </c>
    </row>
    <row r="27" spans="1:7">
      <c r="A27" t="s">
        <v>1849</v>
      </c>
    </row>
    <row r="28" spans="1:7">
      <c r="A28" s="1781" t="s">
        <v>1850</v>
      </c>
      <c r="C28" s="1060">
        <v>4966751</v>
      </c>
      <c r="D28" s="1060">
        <v>5160455</v>
      </c>
      <c r="E28" s="1060">
        <f>1.02*D28</f>
        <v>5263664.0999999996</v>
      </c>
      <c r="F28" s="1060">
        <f>1.04*E28</f>
        <v>5474210.6639999999</v>
      </c>
    </row>
    <row r="29" spans="1:7">
      <c r="A29" s="1781" t="s">
        <v>1851</v>
      </c>
      <c r="C29" s="1060">
        <v>8327772</v>
      </c>
      <c r="D29" s="1060">
        <v>9000000</v>
      </c>
      <c r="E29" s="1060">
        <f>1.02*D29</f>
        <v>9180000</v>
      </c>
      <c r="F29" s="1060">
        <f>1.02*E29</f>
        <v>9363600</v>
      </c>
      <c r="G29" s="12"/>
    </row>
    <row r="30" spans="1:7">
      <c r="A30" s="1781" t="s">
        <v>1852</v>
      </c>
      <c r="C30" s="1060">
        <v>125000</v>
      </c>
      <c r="D30" s="1060">
        <v>140000</v>
      </c>
      <c r="E30" s="1060">
        <f>1.02*D30</f>
        <v>142800</v>
      </c>
      <c r="F30" s="1060">
        <f>1.02*E30</f>
        <v>145656</v>
      </c>
      <c r="G30" s="12"/>
    </row>
    <row r="31" spans="1:7">
      <c r="A31" s="1846" t="s">
        <v>1853</v>
      </c>
      <c r="B31" s="1846">
        <v>24513720</v>
      </c>
      <c r="C31" s="1849">
        <f>SUM(C23,C28,C29,C30)</f>
        <v>24909417</v>
      </c>
      <c r="D31" s="1849">
        <v>26260862</v>
      </c>
      <c r="E31" s="12">
        <f>SUM(E23,E28,E29,E30)</f>
        <v>28067102.100000001</v>
      </c>
      <c r="F31" s="12">
        <f>SUM(F23,F28,F29,F30)</f>
        <v>29378110.664000001</v>
      </c>
    </row>
    <row r="32" spans="1:7">
      <c r="A32" s="211" t="s">
        <v>1854</v>
      </c>
      <c r="B32" s="211"/>
      <c r="C32" s="1850">
        <f>SUM(C22,C28,C29,C30)</f>
        <v>25045169.030000001</v>
      </c>
      <c r="D32" s="1850">
        <f>SUM(D22,D28,D29,D30)</f>
        <v>26738854.2709</v>
      </c>
      <c r="E32" s="1850">
        <f>SUM(E22,E28,E29,E30)</f>
        <v>27954492.709027</v>
      </c>
      <c r="F32" s="1850">
        <f>SUM(F22,F28,F29,F30)</f>
        <v>29152892.921297811</v>
      </c>
    </row>
    <row r="34" spans="1:5">
      <c r="A34" t="s">
        <v>1855</v>
      </c>
      <c r="D34" s="12">
        <f>-D24-C24</f>
        <v>425340.30089999922</v>
      </c>
    </row>
    <row r="35" spans="1:5">
      <c r="D35" s="12"/>
    </row>
    <row r="36" spans="1:5">
      <c r="A36" t="s">
        <v>1887</v>
      </c>
      <c r="D36" s="12"/>
      <c r="E36" s="1614">
        <v>27437007</v>
      </c>
    </row>
    <row r="37" spans="1:5">
      <c r="E37" s="12"/>
    </row>
    <row r="38" spans="1:5">
      <c r="E38" s="1614"/>
    </row>
    <row r="39" spans="1:5">
      <c r="E39" s="12"/>
    </row>
    <row r="40" spans="1:5">
      <c r="A40" t="s">
        <v>1888</v>
      </c>
      <c r="E40" s="12">
        <v>26746687.947000001</v>
      </c>
    </row>
    <row r="41" spans="1:5">
      <c r="A41" s="344" t="s">
        <v>1889</v>
      </c>
      <c r="E41" s="12">
        <f>E12</f>
        <v>630006</v>
      </c>
    </row>
    <row r="42" spans="1:5">
      <c r="A42" s="344" t="s">
        <v>1892</v>
      </c>
      <c r="E42" s="12">
        <f>E13</f>
        <v>130710.33812700001</v>
      </c>
    </row>
    <row r="43" spans="1:5">
      <c r="A43" s="344" t="s">
        <v>1890</v>
      </c>
      <c r="E43" s="12">
        <f>E15</f>
        <v>168913</v>
      </c>
    </row>
    <row r="44" spans="1:5">
      <c r="A44" t="s">
        <v>1891</v>
      </c>
      <c r="E44" s="12">
        <f>SUM(E40:E43)</f>
        <v>27676317.285126999</v>
      </c>
    </row>
    <row r="45" spans="1:5">
      <c r="A45" s="344" t="s">
        <v>1893</v>
      </c>
      <c r="E45" s="12">
        <f>E44-E36</f>
        <v>239310.28512699902</v>
      </c>
    </row>
    <row r="47" spans="1:5">
      <c r="A47" t="s">
        <v>1856</v>
      </c>
    </row>
    <row r="49" spans="1:1">
      <c r="A49" t="s">
        <v>1857</v>
      </c>
    </row>
    <row r="50" spans="1:1">
      <c r="A50" s="1781" t="s">
        <v>1858</v>
      </c>
    </row>
    <row r="51" spans="1:1">
      <c r="A51" s="1781" t="s">
        <v>1859</v>
      </c>
    </row>
    <row r="52" spans="1:1">
      <c r="A52" s="1781" t="s">
        <v>1860</v>
      </c>
    </row>
    <row r="53" spans="1:1">
      <c r="A53" s="1781" t="s">
        <v>1861</v>
      </c>
    </row>
    <row r="54" spans="1:1">
      <c r="A54" s="1781" t="s">
        <v>495</v>
      </c>
    </row>
    <row r="55" spans="1:1">
      <c r="A55" s="1781" t="s">
        <v>1862</v>
      </c>
    </row>
    <row r="56" spans="1:1">
      <c r="A56" s="1781" t="s">
        <v>1863</v>
      </c>
    </row>
    <row r="57" spans="1:1">
      <c r="A57" s="1781" t="s">
        <v>1864</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76"/>
  <sheetViews>
    <sheetView workbookViewId="0">
      <selection activeCell="S29" sqref="S29"/>
    </sheetView>
  </sheetViews>
  <sheetFormatPr defaultColWidth="11.875" defaultRowHeight="15.75"/>
  <cols>
    <col min="1" max="1" width="34.875" customWidth="1"/>
    <col min="2" max="2" width="14.375" customWidth="1"/>
    <col min="3" max="3" width="14" customWidth="1"/>
    <col min="4" max="4" width="12.625" bestFit="1" customWidth="1"/>
    <col min="5" max="5" width="13.875" customWidth="1"/>
    <col min="6" max="6" width="4.125" style="42" customWidth="1"/>
    <col min="7" max="9" width="13.875" customWidth="1"/>
    <col min="10" max="10" width="4.625" customWidth="1"/>
    <col min="11" max="11" width="12.375" customWidth="1"/>
    <col min="12" max="12" width="11.5" customWidth="1"/>
    <col min="13" max="13" width="12.375" customWidth="1"/>
    <col min="14" max="14" width="5.875" customWidth="1"/>
    <col min="15" max="15" width="12.625" customWidth="1"/>
    <col min="16" max="16" width="11.5" customWidth="1"/>
    <col min="17" max="17" width="12.5" customWidth="1"/>
    <col min="18" max="18" width="10" customWidth="1"/>
    <col min="19" max="19" width="13.875" customWidth="1"/>
    <col min="20" max="20" width="14.125" customWidth="1"/>
    <col min="21" max="21" width="16.875" customWidth="1"/>
    <col min="26" max="26" width="2.875" customWidth="1"/>
    <col min="27" max="27" width="13.625" customWidth="1"/>
  </cols>
  <sheetData>
    <row r="1" spans="1:32" ht="16.5" thickBot="1">
      <c r="A1" s="169" t="s">
        <v>61</v>
      </c>
    </row>
    <row r="2" spans="1:32" ht="16.5" thickBot="1">
      <c r="S2" s="1072" t="s">
        <v>954</v>
      </c>
      <c r="T2" s="1073"/>
      <c r="U2" s="1074" t="str">
        <f>'Dashboard-Academic Allocation'!M2</f>
        <v>FY17</v>
      </c>
    </row>
    <row r="3" spans="1:32" ht="45" customHeight="1">
      <c r="A3" t="s">
        <v>1358</v>
      </c>
    </row>
    <row r="5" spans="1:32" ht="15.95" customHeight="1">
      <c r="B5" s="1958" t="s">
        <v>948</v>
      </c>
      <c r="C5" s="1958"/>
      <c r="D5" s="1958"/>
      <c r="E5" s="1958"/>
      <c r="F5" s="1068"/>
      <c r="G5" s="1959" t="s">
        <v>949</v>
      </c>
      <c r="H5" s="1959"/>
      <c r="I5" s="1959"/>
      <c r="K5" s="1959" t="s">
        <v>1087</v>
      </c>
      <c r="L5" s="1959"/>
      <c r="M5" s="1959"/>
      <c r="O5" s="1959" t="s">
        <v>1088</v>
      </c>
      <c r="P5" s="1959"/>
      <c r="Q5" s="1959"/>
      <c r="S5" s="1958" t="s">
        <v>1090</v>
      </c>
      <c r="T5" s="1958"/>
      <c r="U5" s="1958"/>
    </row>
    <row r="6" spans="1:32" ht="65.25" thickBot="1">
      <c r="A6" s="170"/>
      <c r="B6" s="1066" t="s">
        <v>894</v>
      </c>
      <c r="C6" s="1066" t="s">
        <v>895</v>
      </c>
      <c r="D6" s="1066" t="s">
        <v>896</v>
      </c>
      <c r="E6" s="1066" t="s">
        <v>897</v>
      </c>
      <c r="F6" s="1035"/>
      <c r="G6" s="1067" t="s">
        <v>950</v>
      </c>
      <c r="H6" s="1067" t="s">
        <v>951</v>
      </c>
      <c r="I6" s="1067" t="s">
        <v>952</v>
      </c>
      <c r="K6" s="1067" t="s">
        <v>1091</v>
      </c>
      <c r="L6" s="1067" t="s">
        <v>951</v>
      </c>
      <c r="M6" s="1067" t="s">
        <v>1092</v>
      </c>
      <c r="O6" s="1067" t="s">
        <v>1093</v>
      </c>
      <c r="P6" s="1067" t="s">
        <v>951</v>
      </c>
      <c r="Q6" s="1067" t="s">
        <v>1094</v>
      </c>
      <c r="S6" s="1066" t="s">
        <v>1819</v>
      </c>
      <c r="T6" s="1071" t="s">
        <v>953</v>
      </c>
      <c r="U6" s="1071" t="s">
        <v>898</v>
      </c>
      <c r="V6" s="1035"/>
      <c r="AD6" s="1143" t="s">
        <v>1112</v>
      </c>
      <c r="AE6" s="1143" t="s">
        <v>1113</v>
      </c>
      <c r="AF6" s="1143" t="s">
        <v>1114</v>
      </c>
    </row>
    <row r="7" spans="1:32" ht="16.5" thickBot="1">
      <c r="A7" s="180" t="s">
        <v>68</v>
      </c>
      <c r="B7" s="180"/>
      <c r="C7" s="180"/>
      <c r="D7" s="180"/>
      <c r="E7" s="180"/>
      <c r="F7" s="1069"/>
      <c r="G7" s="180"/>
      <c r="H7" s="180"/>
      <c r="I7" s="180"/>
      <c r="K7" s="180"/>
      <c r="L7" s="180"/>
      <c r="M7" s="180"/>
      <c r="O7" s="180"/>
      <c r="P7" s="180"/>
      <c r="Q7" s="180"/>
      <c r="U7" s="1075" t="str">
        <f>'Dashboard-Academic Allocation'!M1</f>
        <v>yes</v>
      </c>
    </row>
    <row r="8" spans="1:32" s="42" customFormat="1">
      <c r="A8" s="171" t="s">
        <v>470</v>
      </c>
      <c r="B8" s="1960"/>
      <c r="C8" s="1960"/>
      <c r="D8" s="1960"/>
      <c r="E8" s="1960"/>
      <c r="F8" s="1070"/>
      <c r="G8" s="1045"/>
      <c r="H8" s="1045"/>
      <c r="I8" s="1045"/>
      <c r="J8"/>
      <c r="K8" s="1141"/>
      <c r="L8" s="1141"/>
      <c r="M8" s="1141"/>
      <c r="N8"/>
      <c r="O8" s="1141"/>
      <c r="P8" s="1141"/>
      <c r="Q8" s="1141"/>
      <c r="R8"/>
      <c r="S8" s="1960"/>
      <c r="T8" s="1960"/>
      <c r="U8" s="1960"/>
    </row>
    <row r="9" spans="1:32">
      <c r="A9" s="171" t="s">
        <v>477</v>
      </c>
      <c r="B9" s="1960"/>
      <c r="C9" s="1960"/>
      <c r="D9" s="1960"/>
      <c r="E9" s="1960"/>
      <c r="F9" s="1070"/>
      <c r="G9" s="1045"/>
      <c r="H9" s="1045"/>
      <c r="I9" s="1045"/>
      <c r="K9" s="1141"/>
      <c r="L9" s="1141"/>
      <c r="M9" s="1141"/>
      <c r="O9" s="1141"/>
      <c r="P9" s="1141"/>
      <c r="Q9" s="1141"/>
      <c r="S9" s="1960"/>
      <c r="T9" s="1960"/>
      <c r="U9" s="1960"/>
    </row>
    <row r="10" spans="1:32" s="42" customFormat="1">
      <c r="A10" s="171" t="s">
        <v>697</v>
      </c>
      <c r="B10" s="1960"/>
      <c r="C10" s="1960"/>
      <c r="D10" s="1960"/>
      <c r="E10" s="1960"/>
      <c r="F10" s="1070"/>
      <c r="G10" s="1045"/>
      <c r="H10" s="1045"/>
      <c r="I10" s="1045"/>
      <c r="J10"/>
      <c r="K10" s="1141"/>
      <c r="L10" s="1141"/>
      <c r="M10" s="1141"/>
      <c r="N10"/>
      <c r="O10" s="1141"/>
      <c r="P10" s="1141"/>
      <c r="Q10" s="1141"/>
      <c r="R10"/>
      <c r="S10" s="1960"/>
      <c r="T10" s="1960"/>
      <c r="U10" s="1960"/>
    </row>
    <row r="11" spans="1:32" s="42" customFormat="1">
      <c r="A11" s="171" t="s">
        <v>714</v>
      </c>
      <c r="B11" s="1960"/>
      <c r="C11" s="1960"/>
      <c r="D11" s="1960"/>
      <c r="E11" s="1960"/>
      <c r="F11" s="1070"/>
      <c r="G11" s="1045"/>
      <c r="H11" s="1045"/>
      <c r="I11" s="1045"/>
      <c r="J11"/>
      <c r="K11" s="1141"/>
      <c r="L11" s="1141"/>
      <c r="M11" s="1141"/>
      <c r="N11"/>
      <c r="O11" s="1141"/>
      <c r="P11" s="1141"/>
      <c r="Q11" s="1141"/>
      <c r="R11"/>
      <c r="S11" s="1960"/>
      <c r="T11" s="1960"/>
      <c r="U11" s="1960"/>
    </row>
    <row r="12" spans="1:32" s="42" customFormat="1">
      <c r="A12" s="171" t="s">
        <v>471</v>
      </c>
      <c r="B12" s="1960"/>
      <c r="C12" s="1960"/>
      <c r="D12" s="1960"/>
      <c r="E12" s="1960"/>
      <c r="F12" s="1070"/>
      <c r="G12" s="1045"/>
      <c r="H12" s="1045"/>
      <c r="I12" s="1045"/>
      <c r="J12"/>
      <c r="K12" s="1141"/>
      <c r="L12" s="1141"/>
      <c r="M12" s="1141"/>
      <c r="N12"/>
      <c r="O12" s="1141"/>
      <c r="P12" s="1141"/>
      <c r="Q12" s="1141"/>
      <c r="R12"/>
      <c r="S12" s="1960"/>
      <c r="T12" s="1960"/>
      <c r="U12" s="1960"/>
    </row>
    <row r="13" spans="1:32" s="42" customFormat="1">
      <c r="A13" s="171" t="s">
        <v>472</v>
      </c>
      <c r="B13" s="1960"/>
      <c r="C13" s="1960"/>
      <c r="D13" s="1960"/>
      <c r="E13" s="1960"/>
      <c r="F13" s="1070"/>
      <c r="G13" s="1045"/>
      <c r="H13" s="1045"/>
      <c r="I13" s="1045"/>
      <c r="J13"/>
      <c r="K13" s="1141"/>
      <c r="L13" s="1141"/>
      <c r="M13" s="1141"/>
      <c r="N13"/>
      <c r="O13" s="1141"/>
      <c r="P13" s="1141"/>
      <c r="Q13" s="1141"/>
      <c r="R13"/>
      <c r="S13" s="1960"/>
      <c r="T13" s="1960"/>
      <c r="U13" s="1960"/>
    </row>
    <row r="14" spans="1:32" s="42" customFormat="1">
      <c r="A14" s="171" t="s">
        <v>473</v>
      </c>
      <c r="B14" s="1960"/>
      <c r="C14" s="1960"/>
      <c r="D14" s="1960"/>
      <c r="E14" s="1960"/>
      <c r="F14" s="1070"/>
      <c r="G14" s="1045"/>
      <c r="H14" s="1045"/>
      <c r="I14" s="1045"/>
      <c r="J14"/>
      <c r="K14" s="1141"/>
      <c r="L14" s="1141"/>
      <c r="M14" s="1141"/>
      <c r="N14"/>
      <c r="O14" s="1141"/>
      <c r="P14" s="1141"/>
      <c r="Q14" s="1141"/>
      <c r="R14"/>
      <c r="S14" s="1960"/>
      <c r="T14" s="1960"/>
      <c r="U14" s="1960"/>
    </row>
    <row r="15" spans="1:32" s="42" customFormat="1">
      <c r="A15" s="162"/>
      <c r="B15" s="162"/>
      <c r="C15" s="162"/>
      <c r="D15" s="162"/>
      <c r="E15" s="162"/>
      <c r="F15" s="162"/>
      <c r="G15" s="162"/>
      <c r="H15" s="162"/>
      <c r="I15" s="162"/>
      <c r="J15"/>
      <c r="K15" s="162"/>
      <c r="L15" s="162"/>
      <c r="M15" s="162"/>
      <c r="N15"/>
      <c r="O15" s="162"/>
      <c r="P15" s="162"/>
      <c r="Q15" s="162"/>
      <c r="R15"/>
      <c r="S15" s="162"/>
      <c r="T15" s="162"/>
      <c r="U15" s="162"/>
    </row>
    <row r="16" spans="1:32" s="42" customFormat="1">
      <c r="A16" s="47" t="s">
        <v>71</v>
      </c>
      <c r="B16" s="47"/>
      <c r="C16" s="47"/>
      <c r="D16" s="47"/>
      <c r="E16" s="47"/>
      <c r="F16" s="1032"/>
      <c r="G16" s="47"/>
      <c r="H16" s="47"/>
      <c r="I16" s="47"/>
      <c r="J16"/>
      <c r="K16" s="47"/>
      <c r="L16" s="47"/>
      <c r="M16" s="47"/>
      <c r="N16"/>
      <c r="O16" s="47"/>
      <c r="P16" s="47"/>
      <c r="Q16" s="47"/>
      <c r="R16"/>
      <c r="S16" s="47"/>
      <c r="T16" s="47"/>
      <c r="U16" s="47"/>
    </row>
    <row r="17" spans="1:32" s="42" customFormat="1">
      <c r="A17" s="173" t="s">
        <v>72</v>
      </c>
      <c r="B17" s="777">
        <v>18962849</v>
      </c>
      <c r="C17" s="777">
        <v>21752048.878301289</v>
      </c>
      <c r="D17" s="777">
        <v>4002730.8820000002</v>
      </c>
      <c r="E17" s="777">
        <v>17749317.99630129</v>
      </c>
      <c r="F17" s="778"/>
      <c r="G17" s="777">
        <v>22240293</v>
      </c>
      <c r="H17" s="40">
        <v>3736215.6660000002</v>
      </c>
      <c r="I17" s="777">
        <f>G17-H17</f>
        <v>18504077.333999999</v>
      </c>
      <c r="J17"/>
      <c r="K17" s="777">
        <v>22952677</v>
      </c>
      <c r="L17" s="40">
        <v>3472868.858</v>
      </c>
      <c r="M17" s="777">
        <f>K17-L17</f>
        <v>19479808.142000001</v>
      </c>
      <c r="N17"/>
      <c r="O17" s="777">
        <v>24160078</v>
      </c>
      <c r="P17" s="777">
        <f>'Step 1 Dedicated Funds'!V16</f>
        <v>3335587.06</v>
      </c>
      <c r="Q17" s="777">
        <f>O17-P17</f>
        <v>20824490.940000001</v>
      </c>
      <c r="R17"/>
      <c r="S17" s="777">
        <f>'Step 1 Dedicated Funds'!V16</f>
        <v>3335587.06</v>
      </c>
      <c r="T17" s="777">
        <f>IF(U$2="FY17",M17+S17,I17+S17)</f>
        <v>22815395.202</v>
      </c>
      <c r="U17" s="777">
        <f>IF(U$7="yes",T17,0)</f>
        <v>22815395.202</v>
      </c>
      <c r="AD17" s="40">
        <v>0</v>
      </c>
      <c r="AE17" s="40">
        <v>3736215.6660000002</v>
      </c>
      <c r="AF17" s="40">
        <v>3472868.858</v>
      </c>
    </row>
    <row r="18" spans="1:32" s="42" customFormat="1">
      <c r="A18" s="49" t="s">
        <v>73</v>
      </c>
      <c r="B18" s="50">
        <v>18351735</v>
      </c>
      <c r="C18" s="50">
        <v>18588011.262828976</v>
      </c>
      <c r="D18" s="50">
        <v>3675844.5260000001</v>
      </c>
      <c r="E18" s="50">
        <v>14912166.736828975</v>
      </c>
      <c r="F18" s="50"/>
      <c r="G18" s="50">
        <v>19693889</v>
      </c>
      <c r="H18" s="44">
        <v>4272219.1280000005</v>
      </c>
      <c r="I18" s="50">
        <f t="shared" ref="I18:I35" si="0">G18-H18</f>
        <v>15421669.872</v>
      </c>
      <c r="J18"/>
      <c r="K18" s="50">
        <v>20340741</v>
      </c>
      <c r="L18" s="44">
        <v>3540623.8960000002</v>
      </c>
      <c r="M18" s="50">
        <f t="shared" ref="M18:M35" si="1">K18-L18</f>
        <v>16800117.103999998</v>
      </c>
      <c r="N18"/>
      <c r="O18" s="50">
        <v>20462422</v>
      </c>
      <c r="P18" s="50">
        <f>'Step 1 Dedicated Funds'!V17</f>
        <v>3042606.9741200004</v>
      </c>
      <c r="Q18" s="50">
        <f t="shared" ref="Q18:Q35" si="2">O18-P18</f>
        <v>17419815.025880001</v>
      </c>
      <c r="R18"/>
      <c r="S18" s="50">
        <f>'Step 1 Dedicated Funds'!V17</f>
        <v>3042606.9741200004</v>
      </c>
      <c r="T18" s="50">
        <f t="shared" ref="T18:T35" si="3">IF(U$2="FY17",M18+S18,I18+S18)</f>
        <v>19842724.078120001</v>
      </c>
      <c r="U18" s="50">
        <f t="shared" ref="U18:U27" si="4">IF(U$7="yes",T18,0)</f>
        <v>19842724.078120001</v>
      </c>
      <c r="AD18" s="44">
        <v>0</v>
      </c>
      <c r="AE18" s="44">
        <v>4272219.1280000005</v>
      </c>
      <c r="AF18" s="44">
        <v>3540623.8960000002</v>
      </c>
    </row>
    <row r="19" spans="1:32" s="42" customFormat="1">
      <c r="A19" s="172" t="s">
        <v>74</v>
      </c>
      <c r="B19" s="778">
        <v>46175012</v>
      </c>
      <c r="C19" s="778">
        <v>47773324.933024563</v>
      </c>
      <c r="D19" s="778">
        <v>17235495.748</v>
      </c>
      <c r="E19" s="778">
        <v>30537829.185024563</v>
      </c>
      <c r="F19" s="778"/>
      <c r="G19" s="778">
        <v>51433285</v>
      </c>
      <c r="H19" s="44">
        <v>20343351.707599998</v>
      </c>
      <c r="I19" s="778">
        <f t="shared" si="0"/>
        <v>31089933.292400002</v>
      </c>
      <c r="J19"/>
      <c r="K19" s="778">
        <v>57240954</v>
      </c>
      <c r="L19" s="44">
        <v>19750426.096000001</v>
      </c>
      <c r="M19" s="778">
        <f t="shared" si="1"/>
        <v>37490527.903999999</v>
      </c>
      <c r="N19"/>
      <c r="O19" s="778">
        <v>61306607</v>
      </c>
      <c r="P19" s="778">
        <f>'Step 1 Dedicated Funds'!V18</f>
        <v>20218186.344999999</v>
      </c>
      <c r="Q19" s="778">
        <f t="shared" si="2"/>
        <v>41088420.655000001</v>
      </c>
      <c r="R19"/>
      <c r="S19" s="778">
        <f>'Step 1 Dedicated Funds'!V18</f>
        <v>20218186.344999999</v>
      </c>
      <c r="T19" s="778">
        <f t="shared" si="3"/>
        <v>57708714.248999998</v>
      </c>
      <c r="U19" s="778">
        <f t="shared" si="4"/>
        <v>57708714.248999998</v>
      </c>
      <c r="AD19" s="44">
        <v>0</v>
      </c>
      <c r="AE19" s="44">
        <v>20343351.707599998</v>
      </c>
      <c r="AF19" s="44">
        <v>19750426.096000001</v>
      </c>
    </row>
    <row r="20" spans="1:32" s="42" customFormat="1">
      <c r="A20" s="173" t="s">
        <v>75</v>
      </c>
      <c r="B20" s="777">
        <v>6148561</v>
      </c>
      <c r="C20" s="777">
        <v>7165559.2974910699</v>
      </c>
      <c r="D20" s="777">
        <v>1531193.1060000001</v>
      </c>
      <c r="E20" s="777">
        <v>5634366.1914910693</v>
      </c>
      <c r="F20" s="778"/>
      <c r="G20" s="777">
        <v>8726165</v>
      </c>
      <c r="H20" s="40">
        <v>3394437.9750000001</v>
      </c>
      <c r="I20" s="777">
        <f t="shared" si="0"/>
        <v>5331727.0250000004</v>
      </c>
      <c r="J20"/>
      <c r="K20" s="777">
        <v>8833735</v>
      </c>
      <c r="L20" s="40">
        <v>3396906.5559999999</v>
      </c>
      <c r="M20" s="777">
        <f t="shared" si="1"/>
        <v>5436828.4440000001</v>
      </c>
      <c r="N20"/>
      <c r="O20" s="777">
        <v>9355600</v>
      </c>
      <c r="P20" s="777">
        <f>'Step 1 Dedicated Funds'!V19</f>
        <v>2925111.3820000002</v>
      </c>
      <c r="Q20" s="777">
        <f t="shared" si="2"/>
        <v>6430488.6179999998</v>
      </c>
      <c r="R20"/>
      <c r="S20" s="777">
        <f>'Step 1 Dedicated Funds'!V19</f>
        <v>2925111.3820000002</v>
      </c>
      <c r="T20" s="777">
        <f t="shared" si="3"/>
        <v>8361939.8260000004</v>
      </c>
      <c r="U20" s="777">
        <f t="shared" si="4"/>
        <v>8361939.8260000004</v>
      </c>
      <c r="AD20" s="40">
        <v>750000</v>
      </c>
      <c r="AE20" s="40">
        <v>3394437.9750000001</v>
      </c>
      <c r="AF20" s="40">
        <v>3396906.5559999999</v>
      </c>
    </row>
    <row r="21" spans="1:32" s="42" customFormat="1">
      <c r="A21" s="49" t="s">
        <v>76</v>
      </c>
      <c r="B21" s="50">
        <v>17819580</v>
      </c>
      <c r="C21" s="50">
        <v>18276499.308851305</v>
      </c>
      <c r="D21" s="50">
        <v>2455849.11</v>
      </c>
      <c r="E21" s="50">
        <v>15820650.198851306</v>
      </c>
      <c r="F21" s="50"/>
      <c r="G21" s="50">
        <v>18501042</v>
      </c>
      <c r="H21" s="44">
        <v>2587348.736</v>
      </c>
      <c r="I21" s="50">
        <f t="shared" si="0"/>
        <v>15913693.264</v>
      </c>
      <c r="J21"/>
      <c r="K21" s="50">
        <v>19991639</v>
      </c>
      <c r="L21" s="44">
        <v>2453103.1540000001</v>
      </c>
      <c r="M21" s="50">
        <f t="shared" si="1"/>
        <v>17538535.846000001</v>
      </c>
      <c r="N21"/>
      <c r="O21" s="50">
        <v>20440194</v>
      </c>
      <c r="P21" s="50">
        <f>'Step 1 Dedicated Funds'!V20</f>
        <v>2429762.1524</v>
      </c>
      <c r="Q21" s="50">
        <f t="shared" si="2"/>
        <v>18010431.847599998</v>
      </c>
      <c r="R21"/>
      <c r="S21" s="50">
        <f>'Step 1 Dedicated Funds'!V20</f>
        <v>2429762.1524</v>
      </c>
      <c r="T21" s="50">
        <f t="shared" si="3"/>
        <v>19968297.998400003</v>
      </c>
      <c r="U21" s="50">
        <f t="shared" si="4"/>
        <v>19968297.998400003</v>
      </c>
      <c r="AD21" s="44">
        <v>0</v>
      </c>
      <c r="AE21" s="44">
        <v>2587348.736</v>
      </c>
      <c r="AF21" s="44">
        <v>2453103.1540000001</v>
      </c>
    </row>
    <row r="22" spans="1:32" s="42" customFormat="1">
      <c r="A22" s="172" t="s">
        <v>77</v>
      </c>
      <c r="B22" s="778">
        <v>4792328</v>
      </c>
      <c r="C22" s="778">
        <v>4869806.8072989993</v>
      </c>
      <c r="D22" s="778">
        <v>231689.60000000001</v>
      </c>
      <c r="E22" s="778">
        <v>4638117.2072989997</v>
      </c>
      <c r="F22" s="778"/>
      <c r="G22" s="778">
        <v>4719068</v>
      </c>
      <c r="H22" s="44">
        <v>326501.2</v>
      </c>
      <c r="I22" s="778">
        <f t="shared" si="0"/>
        <v>4392566.8</v>
      </c>
      <c r="J22"/>
      <c r="K22" s="778">
        <v>4791672</v>
      </c>
      <c r="L22" s="44">
        <v>316991.58999999997</v>
      </c>
      <c r="M22" s="778">
        <f t="shared" si="1"/>
        <v>4474680.41</v>
      </c>
      <c r="N22"/>
      <c r="O22" s="778">
        <v>4806568</v>
      </c>
      <c r="P22" s="778">
        <f>'Step 1 Dedicated Funds'!V21</f>
        <v>112600</v>
      </c>
      <c r="Q22" s="778">
        <f t="shared" si="2"/>
        <v>4693968</v>
      </c>
      <c r="R22"/>
      <c r="S22" s="778">
        <f>'Step 1 Dedicated Funds'!V21</f>
        <v>112600</v>
      </c>
      <c r="T22" s="778">
        <f t="shared" si="3"/>
        <v>4587280.41</v>
      </c>
      <c r="U22" s="778">
        <f t="shared" si="4"/>
        <v>4587280.41</v>
      </c>
      <c r="AD22" s="44">
        <v>250000</v>
      </c>
      <c r="AE22" s="44">
        <v>326501.2</v>
      </c>
      <c r="AF22" s="44">
        <v>316991.58999999997</v>
      </c>
    </row>
    <row r="23" spans="1:32" s="42" customFormat="1">
      <c r="A23" s="173" t="s">
        <v>78</v>
      </c>
      <c r="B23" s="777">
        <v>37873962</v>
      </c>
      <c r="C23" s="777">
        <v>39880855.90787524</v>
      </c>
      <c r="D23" s="777">
        <v>1660613.534</v>
      </c>
      <c r="E23" s="777">
        <v>38220242.373875238</v>
      </c>
      <c r="F23" s="778"/>
      <c r="G23" s="777">
        <v>40776917</v>
      </c>
      <c r="H23" s="40">
        <v>1688511.5619999999</v>
      </c>
      <c r="I23" s="777">
        <f t="shared" si="0"/>
        <v>39088405.438000001</v>
      </c>
      <c r="J23"/>
      <c r="K23" s="777">
        <v>43369613</v>
      </c>
      <c r="L23" s="40">
        <v>1730526.0120000001</v>
      </c>
      <c r="M23" s="777">
        <f t="shared" si="1"/>
        <v>41639086.987999998</v>
      </c>
      <c r="N23"/>
      <c r="O23" s="777">
        <v>45894131</v>
      </c>
      <c r="P23" s="777">
        <f>'Step 1 Dedicated Funds'!V22</f>
        <v>1684488.534</v>
      </c>
      <c r="Q23" s="777">
        <f t="shared" si="2"/>
        <v>44209642.465999998</v>
      </c>
      <c r="R23"/>
      <c r="S23" s="777">
        <f>'Step 1 Dedicated Funds'!V22</f>
        <v>1684488.534</v>
      </c>
      <c r="T23" s="777">
        <f t="shared" si="3"/>
        <v>43323575.522</v>
      </c>
      <c r="U23" s="777">
        <f t="shared" si="4"/>
        <v>43323575.522</v>
      </c>
      <c r="AD23" s="40">
        <v>0</v>
      </c>
      <c r="AE23" s="40">
        <v>1688511.5619999999</v>
      </c>
      <c r="AF23" s="40">
        <v>1730526.0120000001</v>
      </c>
    </row>
    <row r="24" spans="1:32" s="42" customFormat="1">
      <c r="A24" s="172" t="s">
        <v>79</v>
      </c>
      <c r="B24" s="778">
        <v>13416255</v>
      </c>
      <c r="C24" s="778">
        <v>13619738.980354073</v>
      </c>
      <c r="D24" s="778">
        <v>3293842.2820000001</v>
      </c>
      <c r="E24" s="778">
        <v>10325896.698354073</v>
      </c>
      <c r="F24" s="778"/>
      <c r="G24" s="778">
        <v>13735346</v>
      </c>
      <c r="H24" s="44">
        <v>6070463.8739999998</v>
      </c>
      <c r="I24" s="778">
        <f t="shared" si="0"/>
        <v>7664882.1260000002</v>
      </c>
      <c r="J24"/>
      <c r="K24" s="778">
        <v>14434039</v>
      </c>
      <c r="L24" s="44">
        <v>6225425.6780000003</v>
      </c>
      <c r="M24" s="778">
        <f t="shared" si="1"/>
        <v>8208613.3219999997</v>
      </c>
      <c r="N24"/>
      <c r="O24" s="778">
        <v>14831995</v>
      </c>
      <c r="P24" s="778">
        <f>'Step 1 Dedicated Funds'!V23</f>
        <v>6485656.0779999997</v>
      </c>
      <c r="Q24" s="778">
        <f t="shared" si="2"/>
        <v>8346338.9220000003</v>
      </c>
      <c r="R24"/>
      <c r="S24" s="778">
        <f>'Step 1 Dedicated Funds'!V23</f>
        <v>6485656.0779999997</v>
      </c>
      <c r="T24" s="778">
        <f t="shared" si="3"/>
        <v>14694269.399999999</v>
      </c>
      <c r="U24" s="778">
        <f t="shared" si="4"/>
        <v>14694269.399999999</v>
      </c>
      <c r="AD24" s="44">
        <v>2600000</v>
      </c>
      <c r="AE24" s="44">
        <v>6070463.8739999998</v>
      </c>
      <c r="AF24" s="44">
        <v>6225425.6780000003</v>
      </c>
    </row>
    <row r="25" spans="1:32" s="42" customFormat="1">
      <c r="A25" s="172" t="s">
        <v>80</v>
      </c>
      <c r="B25" s="778">
        <v>11306315</v>
      </c>
      <c r="C25" s="778">
        <v>11379065.448531868</v>
      </c>
      <c r="D25" s="778">
        <v>4634817.04</v>
      </c>
      <c r="E25" s="778">
        <v>6744248.4085318679</v>
      </c>
      <c r="F25" s="778"/>
      <c r="G25" s="778">
        <v>11646038</v>
      </c>
      <c r="H25" s="50">
        <v>8079443.216</v>
      </c>
      <c r="I25" s="778">
        <f t="shared" si="0"/>
        <v>3566594.784</v>
      </c>
      <c r="J25"/>
      <c r="K25" s="778">
        <v>12573591</v>
      </c>
      <c r="L25" s="50">
        <v>8679210.9079999998</v>
      </c>
      <c r="M25" s="778">
        <f t="shared" si="1"/>
        <v>3894380.0920000002</v>
      </c>
      <c r="N25"/>
      <c r="O25" s="778">
        <v>12737398</v>
      </c>
      <c r="P25" s="778">
        <f>'Step 1 Dedicated Funds'!V24</f>
        <v>5812599.6086117607</v>
      </c>
      <c r="Q25" s="778">
        <f t="shared" si="2"/>
        <v>6924798.3913882393</v>
      </c>
      <c r="R25"/>
      <c r="S25" s="778">
        <f>'Step 1 Dedicated Funds'!V24</f>
        <v>5812599.6086117607</v>
      </c>
      <c r="T25" s="778">
        <f t="shared" si="3"/>
        <v>9706979.7006117608</v>
      </c>
      <c r="U25" s="778">
        <f t="shared" si="4"/>
        <v>9706979.7006117608</v>
      </c>
      <c r="AD25" s="50">
        <v>3500000</v>
      </c>
      <c r="AE25" s="50">
        <v>8079443.216</v>
      </c>
      <c r="AF25" s="50">
        <v>8679210.9079999998</v>
      </c>
    </row>
    <row r="26" spans="1:32" s="42" customFormat="1">
      <c r="A26" s="173" t="s">
        <v>81</v>
      </c>
      <c r="B26" s="777">
        <v>35239186</v>
      </c>
      <c r="C26" s="777">
        <v>38275607.009800181</v>
      </c>
      <c r="D26" s="777">
        <v>1846905.798</v>
      </c>
      <c r="E26" s="777">
        <v>36428701.21180018</v>
      </c>
      <c r="F26" s="778"/>
      <c r="G26" s="777">
        <v>39904942</v>
      </c>
      <c r="H26" s="40">
        <v>2295300.4220000003</v>
      </c>
      <c r="I26" s="777">
        <f t="shared" si="0"/>
        <v>37609641.578000002</v>
      </c>
      <c r="J26"/>
      <c r="K26" s="777">
        <v>40678621</v>
      </c>
      <c r="L26" s="40">
        <v>2154738.4220000003</v>
      </c>
      <c r="M26" s="777">
        <f t="shared" si="1"/>
        <v>38523882.578000002</v>
      </c>
      <c r="N26"/>
      <c r="O26" s="777">
        <v>41127158</v>
      </c>
      <c r="P26" s="777">
        <f>'Step 1 Dedicated Funds'!V25</f>
        <v>2282708.4220000003</v>
      </c>
      <c r="Q26" s="777">
        <f t="shared" si="2"/>
        <v>38844449.578000002</v>
      </c>
      <c r="R26"/>
      <c r="S26" s="777">
        <f>'Step 1 Dedicated Funds'!V25</f>
        <v>2282708.4220000003</v>
      </c>
      <c r="T26" s="777">
        <f t="shared" si="3"/>
        <v>40806591</v>
      </c>
      <c r="U26" s="777">
        <f t="shared" si="4"/>
        <v>40806591</v>
      </c>
      <c r="AD26" s="40">
        <v>0</v>
      </c>
      <c r="AE26" s="40">
        <v>2295300.4220000003</v>
      </c>
      <c r="AF26" s="40">
        <v>2154738.4220000003</v>
      </c>
    </row>
    <row r="27" spans="1:32" s="42" customFormat="1">
      <c r="A27" s="172" t="s">
        <v>82</v>
      </c>
      <c r="B27" s="778">
        <v>21366657</v>
      </c>
      <c r="C27" s="778">
        <v>21435510.19785019</v>
      </c>
      <c r="D27" s="778">
        <v>13064876.061999999</v>
      </c>
      <c r="E27" s="778">
        <v>8370634.1358501911</v>
      </c>
      <c r="F27" s="778"/>
      <c r="G27" s="778">
        <v>23159598</v>
      </c>
      <c r="H27" s="50">
        <v>19938126.582000002</v>
      </c>
      <c r="I27" s="778">
        <f t="shared" si="0"/>
        <v>3221471.4179999977</v>
      </c>
      <c r="J27"/>
      <c r="K27" s="778">
        <v>24513720</v>
      </c>
      <c r="L27" s="50">
        <v>21711724.355999999</v>
      </c>
      <c r="M27" s="778">
        <f t="shared" si="1"/>
        <v>2801995.6440000013</v>
      </c>
      <c r="N27"/>
      <c r="O27" s="778">
        <v>24909417</v>
      </c>
      <c r="P27" s="778">
        <f>'Step 1 Dedicated Funds'!V26</f>
        <v>17273512.227632001</v>
      </c>
      <c r="Q27" s="778">
        <f t="shared" si="2"/>
        <v>7635904.772367999</v>
      </c>
      <c r="R27"/>
      <c r="S27" s="778">
        <f>'Step 1 Dedicated Funds'!V26</f>
        <v>17273512.227632001</v>
      </c>
      <c r="T27" s="778">
        <f t="shared" si="3"/>
        <v>20075507.871632002</v>
      </c>
      <c r="U27" s="778">
        <f t="shared" si="4"/>
        <v>20075507.871632002</v>
      </c>
      <c r="AD27" s="50">
        <v>6500000</v>
      </c>
      <c r="AE27" s="50">
        <v>19938126.582000002</v>
      </c>
      <c r="AF27" s="50">
        <v>21711724.355999999</v>
      </c>
    </row>
    <row r="28" spans="1:32" s="42" customFormat="1">
      <c r="A28" s="172" t="s">
        <v>83</v>
      </c>
      <c r="B28" s="778"/>
      <c r="C28" s="778">
        <v>1602192</v>
      </c>
      <c r="D28" s="778">
        <v>0</v>
      </c>
      <c r="E28" s="778">
        <v>1602192</v>
      </c>
      <c r="F28" s="778"/>
      <c r="G28" s="778"/>
      <c r="H28" s="44">
        <v>0</v>
      </c>
      <c r="I28" s="778">
        <f t="shared" si="0"/>
        <v>0</v>
      </c>
      <c r="J28"/>
      <c r="K28" s="778"/>
      <c r="L28" s="44">
        <v>0</v>
      </c>
      <c r="M28" s="778">
        <f t="shared" si="1"/>
        <v>0</v>
      </c>
      <c r="N28"/>
      <c r="O28" s="778"/>
      <c r="P28" s="778">
        <v>0</v>
      </c>
      <c r="Q28" s="778">
        <f t="shared" si="2"/>
        <v>0</v>
      </c>
      <c r="R28"/>
      <c r="S28" s="778"/>
      <c r="T28" s="778">
        <f t="shared" si="3"/>
        <v>0</v>
      </c>
      <c r="U28" s="778"/>
      <c r="AD28" s="44">
        <v>0</v>
      </c>
      <c r="AE28" s="44">
        <v>0</v>
      </c>
      <c r="AF28" s="44">
        <v>0</v>
      </c>
    </row>
    <row r="29" spans="1:32" s="42" customFormat="1">
      <c r="A29" s="173" t="s">
        <v>84</v>
      </c>
      <c r="B29" s="777">
        <v>2067913</v>
      </c>
      <c r="C29" s="777">
        <v>2094647.0686013391</v>
      </c>
      <c r="D29" s="777">
        <v>723407.32</v>
      </c>
      <c r="E29" s="777">
        <v>1371239.7486013393</v>
      </c>
      <c r="F29" s="778"/>
      <c r="G29" s="777">
        <v>2156595</v>
      </c>
      <c r="H29" s="40">
        <v>829650.90380000009</v>
      </c>
      <c r="I29" s="777">
        <f t="shared" si="0"/>
        <v>1326944.0962</v>
      </c>
      <c r="J29"/>
      <c r="K29" s="777">
        <v>2438816</v>
      </c>
      <c r="L29" s="40">
        <v>1086827.54</v>
      </c>
      <c r="M29" s="777">
        <f t="shared" si="1"/>
        <v>1351988.46</v>
      </c>
      <c r="N29"/>
      <c r="O29" s="777">
        <v>2839964</v>
      </c>
      <c r="P29" s="777">
        <f>'Step 1 Dedicated Funds'!V28</f>
        <v>1988059.38</v>
      </c>
      <c r="Q29" s="777">
        <f t="shared" si="2"/>
        <v>851904.62000000011</v>
      </c>
      <c r="R29"/>
      <c r="S29" s="777">
        <f>'Step 1 Dedicated Funds'!V28</f>
        <v>1988059.38</v>
      </c>
      <c r="T29" s="777">
        <f t="shared" si="3"/>
        <v>3340047.84</v>
      </c>
      <c r="U29" s="777">
        <f>IF(U$7="yes",T29,0)</f>
        <v>3340047.84</v>
      </c>
      <c r="AD29" s="40">
        <v>0</v>
      </c>
      <c r="AE29" s="40">
        <v>829650.90380000009</v>
      </c>
      <c r="AF29" s="40">
        <v>1086827.54</v>
      </c>
    </row>
    <row r="30" spans="1:32" s="42" customFormat="1">
      <c r="A30" s="49" t="s">
        <v>86</v>
      </c>
      <c r="B30" s="50"/>
      <c r="C30" s="50"/>
      <c r="D30" s="50"/>
      <c r="E30" s="50">
        <v>0</v>
      </c>
      <c r="F30" s="50"/>
      <c r="G30" s="50"/>
      <c r="H30" s="50"/>
      <c r="I30" s="50">
        <f t="shared" si="0"/>
        <v>0</v>
      </c>
      <c r="J30"/>
      <c r="K30" s="50"/>
      <c r="L30" s="50"/>
      <c r="M30" s="50">
        <f t="shared" si="1"/>
        <v>0</v>
      </c>
      <c r="N30"/>
      <c r="O30" s="50"/>
      <c r="P30" s="50"/>
      <c r="Q30" s="50">
        <f t="shared" si="2"/>
        <v>0</v>
      </c>
      <c r="R30"/>
      <c r="S30" s="50"/>
      <c r="T30" s="50">
        <f t="shared" si="3"/>
        <v>0</v>
      </c>
      <c r="U30" s="50"/>
      <c r="AD30" s="50">
        <v>0</v>
      </c>
      <c r="AE30" s="50">
        <f>H30+AD30</f>
        <v>0</v>
      </c>
      <c r="AF30" s="50">
        <f>L30+AD30</f>
        <v>0</v>
      </c>
    </row>
    <row r="31" spans="1:32" s="42" customFormat="1">
      <c r="A31" s="172" t="s">
        <v>87</v>
      </c>
      <c r="B31" s="778"/>
      <c r="C31" s="778"/>
      <c r="D31" s="778"/>
      <c r="E31" s="778">
        <v>0</v>
      </c>
      <c r="F31" s="778"/>
      <c r="G31" s="778"/>
      <c r="H31" s="778"/>
      <c r="I31" s="778">
        <f t="shared" si="0"/>
        <v>0</v>
      </c>
      <c r="J31"/>
      <c r="K31" s="778"/>
      <c r="L31" s="778"/>
      <c r="M31" s="778">
        <f t="shared" si="1"/>
        <v>0</v>
      </c>
      <c r="N31"/>
      <c r="O31" s="778"/>
      <c r="P31" s="778"/>
      <c r="Q31" s="778">
        <f t="shared" si="2"/>
        <v>0</v>
      </c>
      <c r="R31"/>
      <c r="S31" s="778"/>
      <c r="T31" s="778">
        <f t="shared" si="3"/>
        <v>0</v>
      </c>
      <c r="U31" s="778"/>
      <c r="AD31" s="44">
        <v>0</v>
      </c>
      <c r="AE31" s="44">
        <f>H31+AD31</f>
        <v>0</v>
      </c>
      <c r="AF31" s="44">
        <f>L31+AD31</f>
        <v>0</v>
      </c>
    </row>
    <row r="32" spans="1:32" s="42" customFormat="1">
      <c r="A32" s="359" t="s">
        <v>452</v>
      </c>
      <c r="B32" s="779"/>
      <c r="C32" s="779"/>
      <c r="D32" s="779"/>
      <c r="E32" s="779">
        <v>0</v>
      </c>
      <c r="F32" s="778"/>
      <c r="G32" s="779"/>
      <c r="H32" s="779"/>
      <c r="I32" s="779">
        <f t="shared" si="0"/>
        <v>0</v>
      </c>
      <c r="J32"/>
      <c r="K32" s="779"/>
      <c r="L32" s="779"/>
      <c r="M32" s="779">
        <f t="shared" si="1"/>
        <v>0</v>
      </c>
      <c r="N32"/>
      <c r="O32" s="779"/>
      <c r="P32" s="779"/>
      <c r="Q32" s="779">
        <f t="shared" si="2"/>
        <v>0</v>
      </c>
      <c r="R32"/>
      <c r="S32" s="779"/>
      <c r="T32" s="779">
        <f t="shared" si="3"/>
        <v>0</v>
      </c>
      <c r="U32" s="779"/>
      <c r="AD32" s="221">
        <v>0</v>
      </c>
      <c r="AE32" s="221">
        <f>H32+AD32</f>
        <v>0</v>
      </c>
      <c r="AF32" s="221">
        <f>L32+AD32</f>
        <v>0</v>
      </c>
    </row>
    <row r="33" spans="1:32" s="42" customFormat="1">
      <c r="A33" s="358" t="s">
        <v>453</v>
      </c>
      <c r="B33" s="780"/>
      <c r="C33" s="780"/>
      <c r="D33" s="780"/>
      <c r="E33" s="780">
        <v>0</v>
      </c>
      <c r="F33" s="780"/>
      <c r="G33" s="780"/>
      <c r="H33" s="780"/>
      <c r="I33" s="780">
        <f t="shared" si="0"/>
        <v>0</v>
      </c>
      <c r="J33"/>
      <c r="K33" s="780"/>
      <c r="L33" s="780">
        <v>0</v>
      </c>
      <c r="M33" s="780">
        <f t="shared" si="1"/>
        <v>0</v>
      </c>
      <c r="N33"/>
      <c r="O33" s="780"/>
      <c r="P33" s="780"/>
      <c r="Q33" s="780">
        <f t="shared" si="2"/>
        <v>0</v>
      </c>
      <c r="R33"/>
      <c r="S33" s="780"/>
      <c r="T33" s="780">
        <f t="shared" si="3"/>
        <v>0</v>
      </c>
      <c r="U33" s="780"/>
      <c r="AD33" s="50">
        <v>0</v>
      </c>
      <c r="AE33" s="50">
        <f>H33+AD33</f>
        <v>0</v>
      </c>
      <c r="AF33" s="50">
        <f>L33+AD33</f>
        <v>0</v>
      </c>
    </row>
    <row r="34" spans="1:32" s="42" customFormat="1">
      <c r="A34" s="172" t="s">
        <v>88</v>
      </c>
      <c r="B34" s="778"/>
      <c r="C34" s="778"/>
      <c r="D34" s="778"/>
      <c r="E34" s="778">
        <v>0</v>
      </c>
      <c r="F34" s="778"/>
      <c r="G34" s="778"/>
      <c r="H34" s="778"/>
      <c r="I34" s="778">
        <f t="shared" si="0"/>
        <v>0</v>
      </c>
      <c r="J34"/>
      <c r="K34" s="778"/>
      <c r="L34" s="778"/>
      <c r="M34" s="778">
        <f t="shared" si="1"/>
        <v>0</v>
      </c>
      <c r="N34"/>
      <c r="O34" s="778"/>
      <c r="P34" s="778"/>
      <c r="Q34" s="778">
        <f t="shared" si="2"/>
        <v>0</v>
      </c>
      <c r="R34"/>
      <c r="S34" s="778"/>
      <c r="T34" s="778">
        <f t="shared" si="3"/>
        <v>0</v>
      </c>
      <c r="U34" s="778"/>
      <c r="AD34" s="44">
        <v>0</v>
      </c>
      <c r="AE34" s="44">
        <f>H34+AD34</f>
        <v>0</v>
      </c>
      <c r="AF34" s="44">
        <f>L34+AD34</f>
        <v>0</v>
      </c>
    </row>
    <row r="35" spans="1:32" s="42" customFormat="1">
      <c r="A35" s="359" t="s">
        <v>1089</v>
      </c>
      <c r="B35" s="777">
        <v>10355216</v>
      </c>
      <c r="C35" s="777">
        <v>10355216</v>
      </c>
      <c r="D35" s="779">
        <v>1559186</v>
      </c>
      <c r="E35" s="779">
        <v>8796030</v>
      </c>
      <c r="F35" s="778"/>
      <c r="G35" s="777">
        <v>10959977</v>
      </c>
      <c r="H35" s="777">
        <f>1917153.066+8400000</f>
        <v>10317153.066</v>
      </c>
      <c r="I35" s="777">
        <f t="shared" si="0"/>
        <v>642823.93400000036</v>
      </c>
      <c r="J35"/>
      <c r="K35" s="777">
        <v>11252786</v>
      </c>
      <c r="L35" s="777">
        <f>2768936.592-685000+8400000</f>
        <v>10483936.592</v>
      </c>
      <c r="M35" s="777">
        <f t="shared" si="1"/>
        <v>768849.40799999982</v>
      </c>
      <c r="N35"/>
      <c r="O35" s="777">
        <v>11354618</v>
      </c>
      <c r="P35" s="777">
        <v>2065679.46</v>
      </c>
      <c r="Q35" s="777">
        <f t="shared" si="2"/>
        <v>9288938.5399999991</v>
      </c>
      <c r="R35"/>
      <c r="S35" s="779">
        <f>'Step 1 Dedicated Funds'!V34+685000</f>
        <v>2663017.8080000002</v>
      </c>
      <c r="T35" s="777">
        <f t="shared" si="3"/>
        <v>3431867.216</v>
      </c>
      <c r="U35" s="777">
        <f>IF(U$7="yes",T35,0)</f>
        <v>3431867.216</v>
      </c>
      <c r="W35" s="42" t="s">
        <v>956</v>
      </c>
      <c r="AD35" s="221">
        <v>8400000</v>
      </c>
      <c r="AE35" s="221">
        <v>10317153</v>
      </c>
      <c r="AF35" s="221">
        <v>10483937</v>
      </c>
    </row>
    <row r="36" spans="1:32" s="42" customFormat="1">
      <c r="A36" s="362" t="s">
        <v>90</v>
      </c>
      <c r="B36" s="635">
        <f>SUM(B17:B35)</f>
        <v>243875569</v>
      </c>
      <c r="C36" s="635">
        <f>SUM(C17:C35)</f>
        <v>257068083.1008091</v>
      </c>
      <c r="D36" s="635">
        <f>SUM(D17:D35)</f>
        <v>55916451.007999994</v>
      </c>
      <c r="E36" s="635">
        <f>SUM(E17:E35)</f>
        <v>201151632.09280911</v>
      </c>
      <c r="F36" s="50"/>
      <c r="G36" s="635">
        <f>SUM(G17:G35)</f>
        <v>267653155</v>
      </c>
      <c r="H36" s="635">
        <f>SUM(H17:H35)</f>
        <v>83878724.038399994</v>
      </c>
      <c r="I36" s="635">
        <f>SUM(I17:I35)</f>
        <v>183774430.96160001</v>
      </c>
      <c r="J36"/>
      <c r="K36" s="635">
        <f>SUM(K17:K35)</f>
        <v>283412604</v>
      </c>
      <c r="L36" s="635">
        <f>SUM(L17:L35)</f>
        <v>85003309.657999992</v>
      </c>
      <c r="M36" s="635">
        <f>SUM(M17:M35)</f>
        <v>198409294.34200001</v>
      </c>
      <c r="N36"/>
      <c r="O36" s="635">
        <f>SUM(O17:O35)</f>
        <v>294226150</v>
      </c>
      <c r="P36" s="635">
        <f>SUM(P17:P35)</f>
        <v>69656557.623763755</v>
      </c>
      <c r="Q36" s="635">
        <f>SUM(Q17:Q35)</f>
        <v>224569592.37623623</v>
      </c>
      <c r="R36"/>
      <c r="S36" s="635">
        <f>SUM(S17:S35)</f>
        <v>70253895.97176376</v>
      </c>
      <c r="T36" s="635">
        <f>SUM(T17:T35)</f>
        <v>268663190.3137638</v>
      </c>
      <c r="U36" s="635">
        <f>SUM(U17:U35)</f>
        <v>268663190.3137638</v>
      </c>
      <c r="W36" s="42" t="s">
        <v>957</v>
      </c>
    </row>
    <row r="37" spans="1:32" s="42" customFormat="1">
      <c r="A37" s="172"/>
      <c r="B37" s="172"/>
      <c r="C37" s="172"/>
      <c r="D37" s="172"/>
      <c r="E37" s="172"/>
      <c r="F37" s="172"/>
      <c r="G37" s="172"/>
      <c r="H37" s="172"/>
      <c r="I37" s="172"/>
      <c r="J37"/>
      <c r="K37" s="172"/>
      <c r="L37" s="172"/>
      <c r="M37" s="172"/>
      <c r="N37"/>
      <c r="O37" s="172"/>
      <c r="P37" s="172"/>
      <c r="Q37" s="172"/>
      <c r="R37"/>
      <c r="S37" s="172"/>
      <c r="T37" s="172"/>
      <c r="U37" s="172"/>
    </row>
    <row r="38" spans="1:32" s="42" customFormat="1">
      <c r="A38" s="162"/>
      <c r="B38" s="162"/>
      <c r="C38" s="162"/>
      <c r="D38" s="162"/>
      <c r="E38" s="162"/>
      <c r="F38" s="162"/>
      <c r="G38" s="162"/>
      <c r="H38" s="162"/>
      <c r="I38" s="162"/>
      <c r="J38"/>
      <c r="K38" s="162"/>
      <c r="L38" s="162"/>
      <c r="M38" s="162"/>
      <c r="N38"/>
      <c r="O38" s="162"/>
      <c r="P38" s="162"/>
      <c r="Q38" s="162"/>
      <c r="R38"/>
      <c r="S38" s="162"/>
      <c r="T38" s="162"/>
      <c r="U38" s="162"/>
    </row>
    <row r="39" spans="1:32" s="42" customFormat="1">
      <c r="A39" s="49" t="s">
        <v>91</v>
      </c>
      <c r="B39" s="49"/>
      <c r="C39" s="49"/>
      <c r="D39" s="49"/>
      <c r="E39" s="49"/>
      <c r="F39" s="49"/>
      <c r="G39" s="49"/>
      <c r="H39" s="49"/>
      <c r="I39" s="49"/>
      <c r="J39"/>
      <c r="K39" s="49"/>
      <c r="L39" s="49"/>
      <c r="M39" s="49"/>
      <c r="N39"/>
      <c r="O39" s="49"/>
      <c r="P39" s="49"/>
      <c r="Q39" s="49"/>
      <c r="R39"/>
      <c r="S39" s="49"/>
      <c r="T39" s="49"/>
      <c r="U39" s="49"/>
    </row>
    <row r="40" spans="1:32" s="42" customFormat="1">
      <c r="A40" s="173" t="s">
        <v>92</v>
      </c>
      <c r="B40" s="173"/>
      <c r="C40" s="173"/>
      <c r="D40" s="173"/>
      <c r="E40" s="173"/>
      <c r="F40" s="172"/>
      <c r="G40" s="173"/>
      <c r="H40" s="173"/>
      <c r="I40" s="173"/>
      <c r="J40"/>
      <c r="K40" s="173"/>
      <c r="L40" s="173"/>
      <c r="M40" s="173"/>
      <c r="N40"/>
      <c r="O40" s="173"/>
      <c r="P40" s="173"/>
      <c r="Q40" s="173"/>
      <c r="R40"/>
      <c r="S40" s="173"/>
      <c r="T40" s="173"/>
      <c r="U40" s="173"/>
    </row>
    <row r="41" spans="1:32" s="42" customFormat="1">
      <c r="A41" s="172" t="s">
        <v>93</v>
      </c>
      <c r="B41" s="172"/>
      <c r="C41" s="172"/>
      <c r="D41" s="172"/>
      <c r="E41" s="172"/>
      <c r="F41" s="172"/>
      <c r="G41" s="172"/>
      <c r="H41" s="172"/>
      <c r="I41" s="172"/>
      <c r="J41"/>
      <c r="K41" s="172"/>
      <c r="L41" s="172"/>
      <c r="M41" s="172"/>
      <c r="N41"/>
      <c r="O41" s="172"/>
      <c r="P41" s="172"/>
      <c r="Q41" s="172"/>
      <c r="R41"/>
      <c r="S41" s="172"/>
      <c r="T41" s="172"/>
      <c r="U41" s="172"/>
    </row>
    <row r="42" spans="1:32" s="42" customFormat="1">
      <c r="A42" s="49" t="s">
        <v>94</v>
      </c>
      <c r="B42" s="49"/>
      <c r="C42" s="49"/>
      <c r="D42" s="49"/>
      <c r="E42" s="49"/>
      <c r="F42" s="49"/>
      <c r="G42" s="49"/>
      <c r="H42" s="49"/>
      <c r="I42" s="49"/>
      <c r="J42"/>
      <c r="K42" s="49"/>
      <c r="L42" s="49"/>
      <c r="M42" s="49"/>
      <c r="N42"/>
      <c r="O42" s="49"/>
      <c r="P42" s="49"/>
      <c r="Q42" s="49"/>
      <c r="R42"/>
      <c r="S42" s="49"/>
      <c r="T42" s="49"/>
      <c r="U42" s="49"/>
    </row>
    <row r="43" spans="1:32" s="42" customFormat="1">
      <c r="A43" s="173" t="s">
        <v>95</v>
      </c>
      <c r="B43" s="173"/>
      <c r="C43" s="173"/>
      <c r="D43" s="173"/>
      <c r="E43" s="173"/>
      <c r="F43" s="172"/>
      <c r="G43" s="173"/>
      <c r="H43" s="173"/>
      <c r="I43" s="173"/>
      <c r="J43"/>
      <c r="K43" s="173"/>
      <c r="L43" s="173"/>
      <c r="M43" s="173"/>
      <c r="N43"/>
      <c r="O43" s="173"/>
      <c r="P43" s="173"/>
      <c r="Q43" s="173"/>
      <c r="R43"/>
      <c r="S43" s="173"/>
      <c r="T43" s="173"/>
      <c r="U43" s="173"/>
    </row>
    <row r="44" spans="1:32" s="42" customFormat="1">
      <c r="A44" s="172" t="s">
        <v>96</v>
      </c>
      <c r="B44" s="172"/>
      <c r="C44" s="172"/>
      <c r="D44" s="172"/>
      <c r="E44" s="172"/>
      <c r="F44" s="172"/>
      <c r="G44" s="172"/>
      <c r="H44" s="172"/>
      <c r="I44" s="172"/>
      <c r="J44"/>
      <c r="K44" s="172"/>
      <c r="L44" s="172"/>
      <c r="M44" s="172"/>
      <c r="N44"/>
      <c r="O44" s="172"/>
      <c r="P44" s="172"/>
      <c r="Q44" s="172"/>
      <c r="R44"/>
      <c r="S44" s="172"/>
      <c r="T44" s="172"/>
      <c r="U44" s="172"/>
    </row>
    <row r="45" spans="1:32" s="42" customFormat="1">
      <c r="A45" s="358" t="s">
        <v>474</v>
      </c>
      <c r="B45" s="358"/>
      <c r="C45" s="358"/>
      <c r="D45" s="358"/>
      <c r="E45" s="358"/>
      <c r="F45" s="358"/>
      <c r="G45" s="358"/>
      <c r="H45" s="358"/>
      <c r="I45" s="358"/>
      <c r="J45"/>
      <c r="K45" s="358"/>
      <c r="L45" s="358"/>
      <c r="M45" s="358"/>
      <c r="N45"/>
      <c r="O45" s="358"/>
      <c r="P45" s="358"/>
      <c r="Q45" s="358"/>
      <c r="R45"/>
      <c r="S45" s="358"/>
      <c r="T45" s="358"/>
      <c r="U45" s="358"/>
    </row>
    <row r="46" spans="1:32" s="42" customFormat="1">
      <c r="A46" s="172" t="s">
        <v>97</v>
      </c>
      <c r="B46" s="172"/>
      <c r="C46" s="172"/>
      <c r="D46" s="172"/>
      <c r="E46" s="172"/>
      <c r="F46" s="172"/>
      <c r="G46" s="172"/>
      <c r="H46" s="172"/>
      <c r="I46" s="172"/>
      <c r="J46"/>
      <c r="K46" s="172"/>
      <c r="L46" s="172"/>
      <c r="M46" s="172"/>
      <c r="N46"/>
      <c r="O46" s="172"/>
      <c r="P46" s="172"/>
      <c r="Q46" s="172"/>
      <c r="R46"/>
      <c r="S46" s="172"/>
      <c r="T46" s="172"/>
      <c r="U46" s="172"/>
    </row>
    <row r="47" spans="1:32" s="42" customFormat="1">
      <c r="A47" s="173" t="s">
        <v>98</v>
      </c>
      <c r="B47" s="173"/>
      <c r="C47" s="173"/>
      <c r="D47" s="173"/>
      <c r="E47" s="173"/>
      <c r="F47" s="172"/>
      <c r="G47" s="173"/>
      <c r="H47" s="173"/>
      <c r="I47" s="173"/>
      <c r="J47"/>
      <c r="K47" s="173"/>
      <c r="L47" s="173"/>
      <c r="M47" s="173"/>
      <c r="N47"/>
      <c r="O47" s="173"/>
      <c r="P47" s="173"/>
      <c r="Q47" s="173"/>
      <c r="R47"/>
      <c r="S47" s="173"/>
      <c r="T47" s="173"/>
      <c r="U47" s="173"/>
    </row>
    <row r="48" spans="1:32" s="42" customFormat="1">
      <c r="A48" s="172" t="s">
        <v>475</v>
      </c>
      <c r="B48" s="172"/>
      <c r="C48" s="172"/>
      <c r="D48" s="172"/>
      <c r="E48" s="172"/>
      <c r="F48" s="172"/>
      <c r="G48" s="172"/>
      <c r="H48" s="172"/>
      <c r="I48" s="172"/>
      <c r="J48"/>
      <c r="K48" s="172"/>
      <c r="L48" s="172"/>
      <c r="M48" s="172"/>
      <c r="N48"/>
      <c r="O48" s="172"/>
      <c r="P48" s="172"/>
      <c r="Q48" s="172"/>
      <c r="R48"/>
      <c r="S48" s="172"/>
      <c r="T48" s="172"/>
      <c r="U48" s="172"/>
    </row>
    <row r="49" spans="1:21" s="42" customFormat="1">
      <c r="A49" s="49" t="s">
        <v>85</v>
      </c>
      <c r="B49" s="49"/>
      <c r="C49" s="49"/>
      <c r="D49" s="49"/>
      <c r="E49" s="49"/>
      <c r="F49" s="49"/>
      <c r="G49" s="49"/>
      <c r="H49" s="49"/>
      <c r="I49" s="49"/>
      <c r="J49"/>
      <c r="K49" s="49"/>
      <c r="L49" s="49"/>
      <c r="M49" s="49"/>
      <c r="N49"/>
      <c r="O49" s="49"/>
      <c r="P49" s="49"/>
      <c r="Q49" s="49"/>
      <c r="R49"/>
      <c r="S49" s="49"/>
      <c r="T49" s="49"/>
      <c r="U49" s="49"/>
    </row>
    <row r="50" spans="1:21" s="42" customFormat="1">
      <c r="A50" s="359" t="s">
        <v>99</v>
      </c>
      <c r="B50" s="359"/>
      <c r="C50" s="359"/>
      <c r="D50" s="359"/>
      <c r="E50" s="359"/>
      <c r="F50" s="172"/>
      <c r="G50" s="359"/>
      <c r="H50" s="359"/>
      <c r="I50" s="359"/>
      <c r="J50"/>
      <c r="K50" s="359"/>
      <c r="L50" s="359"/>
      <c r="M50" s="359"/>
      <c r="N50"/>
      <c r="O50" s="359"/>
      <c r="P50" s="359"/>
      <c r="Q50" s="359"/>
      <c r="R50"/>
      <c r="S50" s="359"/>
      <c r="T50" s="359"/>
      <c r="U50" s="359"/>
    </row>
    <row r="51" spans="1:21" s="42" customFormat="1">
      <c r="A51" s="172" t="s">
        <v>100</v>
      </c>
      <c r="B51" s="172"/>
      <c r="C51" s="172"/>
      <c r="D51" s="172"/>
      <c r="E51" s="172"/>
      <c r="F51" s="172"/>
      <c r="G51" s="172"/>
      <c r="H51" s="172"/>
      <c r="I51" s="172"/>
      <c r="J51"/>
      <c r="K51" s="172"/>
      <c r="L51" s="172"/>
      <c r="M51" s="172"/>
      <c r="N51"/>
      <c r="O51" s="172"/>
      <c r="P51" s="172"/>
      <c r="Q51" s="172"/>
      <c r="R51"/>
      <c r="S51" s="172"/>
      <c r="T51" s="172"/>
      <c r="U51" s="172"/>
    </row>
    <row r="52" spans="1:21" s="42" customFormat="1">
      <c r="A52" s="172" t="s">
        <v>101</v>
      </c>
      <c r="B52" s="172"/>
      <c r="C52" s="172"/>
      <c r="D52" s="172"/>
      <c r="E52" s="172"/>
      <c r="F52" s="172"/>
      <c r="G52" s="172"/>
      <c r="H52" s="172"/>
      <c r="I52" s="172"/>
      <c r="J52"/>
      <c r="K52" s="172"/>
      <c r="L52" s="172"/>
      <c r="M52" s="172"/>
      <c r="N52"/>
      <c r="O52" s="172"/>
      <c r="P52" s="172"/>
      <c r="Q52" s="172"/>
      <c r="R52"/>
      <c r="S52" s="172"/>
      <c r="T52" s="172"/>
      <c r="U52" s="172"/>
    </row>
    <row r="53" spans="1:21" s="42" customFormat="1">
      <c r="A53" s="359" t="s">
        <v>102</v>
      </c>
      <c r="B53" s="359"/>
      <c r="C53" s="359"/>
      <c r="D53" s="359"/>
      <c r="E53" s="359"/>
      <c r="F53" s="172"/>
      <c r="G53" s="359"/>
      <c r="H53" s="359"/>
      <c r="I53" s="359"/>
      <c r="J53"/>
      <c r="K53" s="359"/>
      <c r="L53" s="359"/>
      <c r="M53" s="359"/>
      <c r="N53"/>
      <c r="O53" s="359"/>
      <c r="P53" s="359"/>
      <c r="Q53" s="359"/>
      <c r="R53"/>
      <c r="S53" s="359"/>
      <c r="T53" s="359"/>
      <c r="U53" s="359"/>
    </row>
    <row r="54" spans="1:21" s="42" customFormat="1">
      <c r="A54" s="172" t="s">
        <v>103</v>
      </c>
      <c r="B54" s="172"/>
      <c r="C54" s="172"/>
      <c r="D54" s="172"/>
      <c r="E54" s="172"/>
      <c r="F54" s="172"/>
      <c r="G54" s="172"/>
      <c r="H54" s="172"/>
      <c r="I54" s="172"/>
      <c r="J54"/>
      <c r="K54" s="172"/>
      <c r="L54" s="172"/>
      <c r="M54" s="172"/>
      <c r="N54"/>
      <c r="O54" s="172"/>
      <c r="P54" s="172"/>
      <c r="Q54" s="172"/>
      <c r="R54"/>
      <c r="S54" s="172"/>
      <c r="T54" s="172"/>
      <c r="U54" s="172"/>
    </row>
    <row r="55" spans="1:21" s="42" customFormat="1">
      <c r="A55" s="172" t="s">
        <v>450</v>
      </c>
      <c r="B55" s="172"/>
      <c r="C55" s="172"/>
      <c r="D55" s="172"/>
      <c r="E55" s="172"/>
      <c r="F55" s="172"/>
      <c r="G55" s="172"/>
      <c r="H55" s="172"/>
      <c r="I55" s="172"/>
      <c r="J55"/>
      <c r="K55" s="172"/>
      <c r="L55" s="172"/>
      <c r="M55" s="172"/>
      <c r="N55"/>
      <c r="O55" s="172"/>
      <c r="P55" s="172"/>
      <c r="Q55" s="172"/>
      <c r="R55"/>
      <c r="S55" s="172"/>
      <c r="T55" s="172"/>
      <c r="U55" s="172"/>
    </row>
    <row r="56" spans="1:21" s="42" customFormat="1">
      <c r="A56" s="377" t="s">
        <v>476</v>
      </c>
      <c r="B56" s="377"/>
      <c r="C56" s="377"/>
      <c r="D56" s="377"/>
      <c r="E56" s="377"/>
      <c r="F56" s="358"/>
      <c r="G56" s="377"/>
      <c r="H56" s="377"/>
      <c r="I56" s="377"/>
      <c r="J56"/>
      <c r="K56" s="377"/>
      <c r="L56" s="377"/>
      <c r="M56" s="377"/>
      <c r="N56"/>
      <c r="O56" s="377"/>
      <c r="P56" s="377"/>
      <c r="Q56" s="377"/>
      <c r="R56"/>
      <c r="S56" s="377"/>
      <c r="T56" s="377"/>
      <c r="U56" s="377"/>
    </row>
    <row r="57" spans="1:21" s="42" customFormat="1">
      <c r="A57" s="172" t="s">
        <v>104</v>
      </c>
      <c r="B57" s="172"/>
      <c r="C57" s="172"/>
      <c r="D57" s="172"/>
      <c r="E57" s="172"/>
      <c r="F57" s="172"/>
      <c r="G57" s="172"/>
      <c r="H57" s="172"/>
      <c r="I57" s="172"/>
      <c r="J57"/>
      <c r="K57" s="172"/>
      <c r="L57" s="172"/>
      <c r="M57" s="172"/>
      <c r="N57"/>
      <c r="O57" s="172"/>
      <c r="P57" s="172"/>
      <c r="Q57" s="172"/>
      <c r="R57"/>
      <c r="S57" s="172"/>
      <c r="T57" s="172"/>
      <c r="U57" s="172"/>
    </row>
    <row r="58" spans="1:21" s="42" customFormat="1">
      <c r="A58" s="366" t="s">
        <v>105</v>
      </c>
      <c r="B58" s="366"/>
      <c r="C58" s="366"/>
      <c r="D58" s="366"/>
      <c r="E58" s="366"/>
      <c r="F58" s="172"/>
      <c r="G58" s="366"/>
      <c r="H58" s="366"/>
      <c r="I58" s="366"/>
      <c r="J58"/>
      <c r="K58" s="366"/>
      <c r="L58" s="366"/>
      <c r="M58" s="366"/>
      <c r="N58"/>
      <c r="O58" s="366"/>
      <c r="P58" s="366"/>
      <c r="Q58" s="366"/>
      <c r="R58"/>
      <c r="S58" s="366"/>
      <c r="T58" s="366"/>
      <c r="U58" s="366"/>
    </row>
    <row r="59" spans="1:21" s="42" customFormat="1">
      <c r="A59" s="368" t="s">
        <v>106</v>
      </c>
      <c r="B59" s="368"/>
      <c r="C59" s="368"/>
      <c r="D59" s="368"/>
      <c r="E59" s="368"/>
      <c r="F59" s="1047"/>
      <c r="G59" s="368"/>
      <c r="H59" s="368"/>
      <c r="I59" s="368"/>
      <c r="J59"/>
      <c r="K59" s="368"/>
      <c r="L59" s="368"/>
      <c r="M59" s="368"/>
      <c r="N59"/>
      <c r="O59" s="368"/>
      <c r="P59" s="368"/>
      <c r="Q59" s="368"/>
      <c r="R59"/>
      <c r="S59" s="368"/>
      <c r="T59" s="368"/>
      <c r="U59" s="368"/>
    </row>
    <row r="60" spans="1:21" s="42" customFormat="1"/>
    <row r="61" spans="1:21" s="42" customFormat="1"/>
    <row r="62" spans="1:21" s="42" customFormat="1"/>
    <row r="63" spans="1:21" s="42" customFormat="1"/>
    <row r="64" spans="1:21" s="42" customFormat="1"/>
    <row r="65" spans="1:24" s="42" customFormat="1"/>
    <row r="66" spans="1:24" s="42" customFormat="1"/>
    <row r="67" spans="1:24" s="42" customFormat="1"/>
    <row r="68" spans="1:24" s="42" customFormat="1"/>
    <row r="69" spans="1:24" s="42" customFormat="1"/>
    <row r="70" spans="1:24" s="42" customFormat="1"/>
    <row r="71" spans="1:24" s="42" customFormat="1"/>
    <row r="72" spans="1:24" s="42" customFormat="1"/>
    <row r="73" spans="1:24" s="42" customFormat="1"/>
    <row r="74" spans="1:24" s="42" customFormat="1"/>
    <row r="75" spans="1:24">
      <c r="A75" s="42"/>
      <c r="B75" s="42"/>
      <c r="C75" s="42"/>
      <c r="D75" s="42"/>
      <c r="E75" s="42"/>
      <c r="G75" s="42"/>
      <c r="H75" s="42"/>
      <c r="I75" s="42"/>
      <c r="J75" s="42"/>
      <c r="K75" s="42"/>
      <c r="L75" s="42"/>
      <c r="M75" s="42"/>
      <c r="N75" s="42"/>
      <c r="O75" s="42"/>
      <c r="P75" s="42"/>
      <c r="Q75" s="42"/>
      <c r="R75" s="42"/>
      <c r="S75" s="42"/>
      <c r="T75" s="42"/>
      <c r="V75" s="42"/>
      <c r="W75" s="42"/>
      <c r="X75" s="42"/>
    </row>
    <row r="76" spans="1:24">
      <c r="V76" s="42"/>
      <c r="W76" s="42"/>
      <c r="X76" s="42"/>
    </row>
  </sheetData>
  <mergeCells count="12">
    <mergeCell ref="B5:E5"/>
    <mergeCell ref="G5:I5"/>
    <mergeCell ref="S5:U5"/>
    <mergeCell ref="E8:E14"/>
    <mergeCell ref="S8:S14"/>
    <mergeCell ref="T8:T14"/>
    <mergeCell ref="U8:U14"/>
    <mergeCell ref="B8:B14"/>
    <mergeCell ref="C8:C14"/>
    <mergeCell ref="D8:D14"/>
    <mergeCell ref="K5:M5"/>
    <mergeCell ref="O5:Q5"/>
  </mergeCells>
  <pageMargins left="0.75" right="0.75" top="1" bottom="1" header="0.5" footer="0.5"/>
  <pageSetup orientation="portrait" horizontalDpi="4294967292" verticalDpi="4294967292"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58"/>
  <sheetViews>
    <sheetView topLeftCell="A4" workbookViewId="0">
      <selection activeCell="AF27" sqref="AF27"/>
    </sheetView>
  </sheetViews>
  <sheetFormatPr defaultColWidth="11" defaultRowHeight="15.75"/>
  <cols>
    <col min="1" max="1" width="36.125" customWidth="1"/>
    <col min="2" max="29" width="11.5" customWidth="1"/>
  </cols>
  <sheetData>
    <row r="1" spans="1:31">
      <c r="Y1" t="s">
        <v>1314</v>
      </c>
    </row>
    <row r="2" spans="1:31">
      <c r="B2" t="s">
        <v>1100</v>
      </c>
      <c r="F2" t="s">
        <v>1101</v>
      </c>
      <c r="K2" t="s">
        <v>1107</v>
      </c>
      <c r="P2" t="s">
        <v>1108</v>
      </c>
      <c r="U2" t="s">
        <v>1107</v>
      </c>
      <c r="Y2" t="s">
        <v>1315</v>
      </c>
    </row>
    <row r="3" spans="1:31">
      <c r="B3" t="s">
        <v>1099</v>
      </c>
      <c r="F3" t="s">
        <v>1102</v>
      </c>
      <c r="K3" t="s">
        <v>1096</v>
      </c>
      <c r="P3" t="s">
        <v>1096</v>
      </c>
      <c r="U3" t="s">
        <v>1096</v>
      </c>
    </row>
    <row r="4" spans="1:31">
      <c r="F4" t="s">
        <v>1104</v>
      </c>
      <c r="K4" t="s">
        <v>1104</v>
      </c>
      <c r="P4" t="s">
        <v>1109</v>
      </c>
      <c r="U4" t="s">
        <v>1110</v>
      </c>
    </row>
    <row r="5" spans="1:31" ht="76.5">
      <c r="A5" s="180" t="s">
        <v>68</v>
      </c>
      <c r="B5" s="231" t="s">
        <v>1097</v>
      </c>
      <c r="C5" s="231" t="s">
        <v>1098</v>
      </c>
      <c r="D5" s="231" t="s">
        <v>13</v>
      </c>
      <c r="F5" s="231" t="s">
        <v>1097</v>
      </c>
      <c r="G5" s="231" t="s">
        <v>1103</v>
      </c>
      <c r="H5" s="231" t="s">
        <v>1105</v>
      </c>
      <c r="I5" s="231" t="s">
        <v>13</v>
      </c>
      <c r="K5" s="231" t="s">
        <v>892</v>
      </c>
      <c r="L5" s="231" t="s">
        <v>958</v>
      </c>
      <c r="M5" s="231" t="s">
        <v>1106</v>
      </c>
      <c r="N5" s="231" t="s">
        <v>13</v>
      </c>
      <c r="P5" s="231" t="s">
        <v>892</v>
      </c>
      <c r="Q5" s="231" t="s">
        <v>958</v>
      </c>
      <c r="R5" s="231" t="s">
        <v>1106</v>
      </c>
      <c r="S5" s="231" t="s">
        <v>13</v>
      </c>
      <c r="U5" s="231" t="s">
        <v>892</v>
      </c>
      <c r="V5" s="231" t="s">
        <v>958</v>
      </c>
      <c r="W5" s="231" t="s">
        <v>1106</v>
      </c>
      <c r="X5" s="231" t="s">
        <v>13</v>
      </c>
      <c r="Y5" s="231"/>
      <c r="AA5" s="1142" t="s">
        <v>1111</v>
      </c>
      <c r="AB5" s="231" t="s">
        <v>1313</v>
      </c>
      <c r="AC5" s="1142" t="s">
        <v>1359</v>
      </c>
      <c r="AE5" s="1142" t="s">
        <v>1480</v>
      </c>
    </row>
    <row r="6" spans="1:31">
      <c r="A6" s="171" t="s">
        <v>470</v>
      </c>
      <c r="B6" s="40"/>
      <c r="C6" s="40"/>
      <c r="D6" s="40">
        <f t="shared" ref="D6:D12" si="0">B6+C6</f>
        <v>0</v>
      </c>
      <c r="F6" s="40"/>
      <c r="G6" s="40"/>
      <c r="H6" s="40"/>
      <c r="I6" s="40">
        <f>F6+G6</f>
        <v>0</v>
      </c>
      <c r="K6" s="40"/>
      <c r="L6" s="40"/>
      <c r="M6" s="40"/>
      <c r="N6" s="40">
        <f>K6+L6</f>
        <v>0</v>
      </c>
      <c r="P6" s="40"/>
      <c r="Q6" s="40"/>
      <c r="R6" s="40"/>
      <c r="S6" s="40">
        <f>P6+Q6</f>
        <v>0</v>
      </c>
      <c r="U6" s="40"/>
      <c r="V6" s="40"/>
      <c r="W6" s="40"/>
      <c r="X6" s="40">
        <f>U6+V6</f>
        <v>0</v>
      </c>
      <c r="Y6" s="40"/>
      <c r="AA6" s="40"/>
      <c r="AB6" s="40"/>
      <c r="AC6" s="40"/>
    </row>
    <row r="7" spans="1:31">
      <c r="A7" s="171" t="s">
        <v>477</v>
      </c>
      <c r="B7" s="40"/>
      <c r="C7" s="40"/>
      <c r="D7" s="40">
        <f t="shared" si="0"/>
        <v>0</v>
      </c>
      <c r="F7" s="40"/>
      <c r="G7" s="40"/>
      <c r="H7" s="40"/>
      <c r="I7" s="40">
        <f t="shared" ref="I7:I12" si="1">F7+G7</f>
        <v>0</v>
      </c>
      <c r="K7" s="40">
        <v>0</v>
      </c>
      <c r="L7" s="40"/>
      <c r="M7" s="40"/>
      <c r="N7" s="40">
        <f t="shared" ref="N7:N12" si="2">K7+L7</f>
        <v>0</v>
      </c>
      <c r="P7" s="40">
        <v>0</v>
      </c>
      <c r="Q7" s="40"/>
      <c r="R7" s="40"/>
      <c r="S7" s="40">
        <f t="shared" ref="S7:S12" si="3">P7+Q7</f>
        <v>0</v>
      </c>
      <c r="U7" s="40">
        <v>0</v>
      </c>
      <c r="V7" s="40"/>
      <c r="W7" s="40"/>
      <c r="X7" s="40">
        <f t="shared" ref="X7:X12" si="4">U7+V7</f>
        <v>0</v>
      </c>
      <c r="Y7" s="40"/>
      <c r="AA7" s="40">
        <v>0</v>
      </c>
      <c r="AB7" s="40"/>
      <c r="AC7" s="40">
        <v>0</v>
      </c>
    </row>
    <row r="8" spans="1:31">
      <c r="A8" s="171" t="s">
        <v>697</v>
      </c>
      <c r="B8" s="40">
        <v>-7075431.1794386227</v>
      </c>
      <c r="C8" s="40">
        <v>-18794188.882062927</v>
      </c>
      <c r="D8" s="40">
        <f t="shared" si="0"/>
        <v>-25869620.061501548</v>
      </c>
      <c r="F8" s="40">
        <v>-4160198.4242307842</v>
      </c>
      <c r="G8" s="40">
        <v>-16105893.84990913</v>
      </c>
      <c r="H8" s="40"/>
      <c r="I8" s="40">
        <f t="shared" si="1"/>
        <v>-20266092.274139915</v>
      </c>
      <c r="K8" s="40">
        <v>-5577569.7608516775</v>
      </c>
      <c r="L8" s="40">
        <v>-17503004.038353819</v>
      </c>
      <c r="M8" s="40"/>
      <c r="N8" s="40">
        <f t="shared" si="2"/>
        <v>-23080573.799205497</v>
      </c>
      <c r="P8" s="40">
        <v>-5383148.3546258993</v>
      </c>
      <c r="Q8" s="40">
        <v>-15951772.166773807</v>
      </c>
      <c r="R8" s="40"/>
      <c r="S8" s="40">
        <f t="shared" si="3"/>
        <v>-21334920.521399707</v>
      </c>
      <c r="U8" s="40">
        <v>-5577569.7608516775</v>
      </c>
      <c r="V8" s="40">
        <v>-17503004.038353819</v>
      </c>
      <c r="W8" s="40"/>
      <c r="X8" s="40">
        <f t="shared" si="4"/>
        <v>-23080573.799205497</v>
      </c>
      <c r="Y8" s="40"/>
      <c r="AA8" s="40"/>
      <c r="AB8" s="40"/>
      <c r="AC8" s="40"/>
    </row>
    <row r="9" spans="1:31">
      <c r="A9" s="171" t="s">
        <v>714</v>
      </c>
      <c r="B9" s="40"/>
      <c r="C9" s="40"/>
      <c r="D9" s="40">
        <f t="shared" si="0"/>
        <v>0</v>
      </c>
      <c r="F9" s="40"/>
      <c r="G9" s="40"/>
      <c r="H9" s="40"/>
      <c r="I9" s="40">
        <f t="shared" si="1"/>
        <v>0</v>
      </c>
      <c r="K9" s="40"/>
      <c r="L9" s="40"/>
      <c r="M9" s="40"/>
      <c r="N9" s="40">
        <f t="shared" si="2"/>
        <v>0</v>
      </c>
      <c r="P9" s="40"/>
      <c r="Q9" s="40"/>
      <c r="R9" s="40"/>
      <c r="S9" s="40">
        <f t="shared" si="3"/>
        <v>0</v>
      </c>
      <c r="U9" s="40"/>
      <c r="V9" s="40"/>
      <c r="W9" s="40"/>
      <c r="X9" s="40">
        <f t="shared" si="4"/>
        <v>0</v>
      </c>
      <c r="Y9" s="40"/>
      <c r="AA9" s="40"/>
      <c r="AB9" s="40"/>
      <c r="AC9" s="40"/>
    </row>
    <row r="10" spans="1:31">
      <c r="A10" s="171" t="s">
        <v>471</v>
      </c>
      <c r="B10" s="40"/>
      <c r="C10" s="40"/>
      <c r="D10" s="40">
        <f t="shared" si="0"/>
        <v>0</v>
      </c>
      <c r="F10" s="40"/>
      <c r="G10" s="40"/>
      <c r="H10" s="40"/>
      <c r="I10" s="40">
        <f t="shared" si="1"/>
        <v>0</v>
      </c>
      <c r="K10" s="40"/>
      <c r="L10" s="40"/>
      <c r="M10" s="40"/>
      <c r="N10" s="40">
        <f t="shared" si="2"/>
        <v>0</v>
      </c>
      <c r="P10" s="40"/>
      <c r="Q10" s="40"/>
      <c r="R10" s="40"/>
      <c r="S10" s="40">
        <f t="shared" si="3"/>
        <v>0</v>
      </c>
      <c r="U10" s="40"/>
      <c r="V10" s="40"/>
      <c r="W10" s="40"/>
      <c r="X10" s="40">
        <f t="shared" si="4"/>
        <v>0</v>
      </c>
      <c r="Y10" s="40"/>
      <c r="AA10" s="40"/>
      <c r="AB10" s="40"/>
      <c r="AC10" s="40"/>
    </row>
    <row r="11" spans="1:31">
      <c r="A11" s="171" t="s">
        <v>472</v>
      </c>
      <c r="B11" s="40"/>
      <c r="C11" s="40"/>
      <c r="D11" s="40">
        <f t="shared" si="0"/>
        <v>0</v>
      </c>
      <c r="F11" s="40"/>
      <c r="G11" s="40"/>
      <c r="H11" s="40"/>
      <c r="I11" s="40">
        <f t="shared" si="1"/>
        <v>0</v>
      </c>
      <c r="K11" s="40"/>
      <c r="L11" s="40"/>
      <c r="M11" s="40"/>
      <c r="N11" s="40">
        <f t="shared" si="2"/>
        <v>0</v>
      </c>
      <c r="P11" s="40"/>
      <c r="Q11" s="40"/>
      <c r="R11" s="40"/>
      <c r="S11" s="40">
        <f t="shared" si="3"/>
        <v>0</v>
      </c>
      <c r="U11" s="40"/>
      <c r="V11" s="40"/>
      <c r="W11" s="40"/>
      <c r="X11" s="40">
        <f t="shared" si="4"/>
        <v>0</v>
      </c>
      <c r="Y11" s="40"/>
      <c r="AA11" s="40"/>
      <c r="AB11" s="40"/>
      <c r="AC11" s="40"/>
    </row>
    <row r="12" spans="1:31">
      <c r="A12" s="171" t="s">
        <v>473</v>
      </c>
      <c r="B12" s="40"/>
      <c r="C12" s="40"/>
      <c r="D12" s="40">
        <f t="shared" si="0"/>
        <v>0</v>
      </c>
      <c r="F12" s="40"/>
      <c r="G12" s="40"/>
      <c r="H12" s="40"/>
      <c r="I12" s="40">
        <f t="shared" si="1"/>
        <v>0</v>
      </c>
      <c r="K12" s="40"/>
      <c r="L12" s="40"/>
      <c r="M12" s="40"/>
      <c r="N12" s="40">
        <f t="shared" si="2"/>
        <v>0</v>
      </c>
      <c r="P12" s="40"/>
      <c r="Q12" s="40"/>
      <c r="R12" s="40"/>
      <c r="S12" s="40">
        <f t="shared" si="3"/>
        <v>0</v>
      </c>
      <c r="U12" s="40"/>
      <c r="V12" s="40"/>
      <c r="W12" s="40"/>
      <c r="X12" s="40">
        <f t="shared" si="4"/>
        <v>0</v>
      </c>
      <c r="Y12" s="40"/>
      <c r="AA12" s="40"/>
      <c r="AB12" s="40"/>
      <c r="AC12" s="40"/>
    </row>
    <row r="13" spans="1:31">
      <c r="A13" s="162"/>
      <c r="B13" s="44"/>
      <c r="C13" s="44"/>
      <c r="D13" s="44"/>
      <c r="F13" s="44"/>
      <c r="G13" s="44"/>
      <c r="H13" s="44"/>
      <c r="I13" s="44"/>
      <c r="K13" s="44"/>
      <c r="L13" s="44"/>
      <c r="M13" s="44"/>
      <c r="N13" s="44"/>
      <c r="P13" s="44"/>
      <c r="Q13" s="44"/>
      <c r="R13" s="44"/>
      <c r="S13" s="44"/>
      <c r="U13" s="44"/>
      <c r="V13" s="44"/>
      <c r="W13" s="44"/>
      <c r="X13" s="44"/>
      <c r="Y13" s="44"/>
      <c r="AA13" s="44"/>
      <c r="AB13" s="44"/>
      <c r="AC13" s="44"/>
    </row>
    <row r="14" spans="1:31">
      <c r="A14" s="47" t="s">
        <v>71</v>
      </c>
      <c r="B14" s="33"/>
      <c r="C14" s="33"/>
      <c r="D14" s="33"/>
      <c r="F14" s="33"/>
      <c r="G14" s="33"/>
      <c r="H14" s="33"/>
      <c r="I14" s="33"/>
      <c r="K14" s="33"/>
      <c r="L14" s="33"/>
      <c r="M14" s="33"/>
      <c r="N14" s="33"/>
      <c r="P14" s="33"/>
      <c r="Q14" s="33"/>
      <c r="R14" s="33"/>
      <c r="S14" s="33"/>
      <c r="U14" s="33"/>
      <c r="V14" s="33"/>
      <c r="W14" s="33"/>
      <c r="X14" s="33"/>
      <c r="Y14" s="33"/>
      <c r="AA14" s="33"/>
      <c r="AB14" s="33"/>
      <c r="AC14" s="33"/>
    </row>
    <row r="15" spans="1:31">
      <c r="A15" s="173" t="s">
        <v>72</v>
      </c>
      <c r="B15" s="40"/>
      <c r="C15" s="40">
        <v>1094858.8781696409</v>
      </c>
      <c r="D15" s="40">
        <f t="shared" ref="D15:D33" si="5">B15+C15</f>
        <v>1094858.8781696409</v>
      </c>
      <c r="F15" s="40">
        <v>0</v>
      </c>
      <c r="G15" s="40">
        <v>0</v>
      </c>
      <c r="H15" s="40"/>
      <c r="I15" s="40">
        <f>F15+G15</f>
        <v>0</v>
      </c>
      <c r="K15" s="40">
        <v>0</v>
      </c>
      <c r="L15" s="40">
        <v>0</v>
      </c>
      <c r="M15" s="40"/>
      <c r="N15" s="40">
        <f>K15+L15</f>
        <v>0</v>
      </c>
      <c r="P15" s="40">
        <v>0</v>
      </c>
      <c r="Q15" s="40">
        <v>0</v>
      </c>
      <c r="R15" s="40"/>
      <c r="S15" s="40">
        <f>P15+Q15</f>
        <v>0</v>
      </c>
      <c r="U15" s="40">
        <v>0</v>
      </c>
      <c r="V15" s="40">
        <v>0</v>
      </c>
      <c r="W15" s="40"/>
      <c r="X15" s="40">
        <f>U15+V15</f>
        <v>0</v>
      </c>
      <c r="Y15" s="40"/>
      <c r="AA15" s="40">
        <v>0</v>
      </c>
      <c r="AB15" s="40"/>
      <c r="AC15" s="40">
        <v>0</v>
      </c>
      <c r="AE15" s="40">
        <v>0</v>
      </c>
    </row>
    <row r="16" spans="1:31">
      <c r="A16" s="49" t="s">
        <v>73</v>
      </c>
      <c r="B16" s="44"/>
      <c r="C16" s="44">
        <v>450757.45151346922</v>
      </c>
      <c r="D16" s="44">
        <f t="shared" si="5"/>
        <v>450757.45151346922</v>
      </c>
      <c r="F16" s="44">
        <v>0</v>
      </c>
      <c r="G16" s="44">
        <v>0</v>
      </c>
      <c r="H16" s="44"/>
      <c r="I16" s="44">
        <f>F16+G16</f>
        <v>0</v>
      </c>
      <c r="K16" s="44">
        <v>0</v>
      </c>
      <c r="L16" s="44">
        <v>0</v>
      </c>
      <c r="M16" s="44"/>
      <c r="N16" s="44">
        <f>K16+L16</f>
        <v>0</v>
      </c>
      <c r="P16" s="44">
        <v>0</v>
      </c>
      <c r="Q16" s="44">
        <v>0</v>
      </c>
      <c r="R16" s="44"/>
      <c r="S16" s="44">
        <f>P16+Q16</f>
        <v>0</v>
      </c>
      <c r="U16" s="44">
        <v>0</v>
      </c>
      <c r="V16" s="44">
        <v>0</v>
      </c>
      <c r="W16" s="44"/>
      <c r="X16" s="44">
        <f>U16+V16</f>
        <v>0</v>
      </c>
      <c r="Y16" s="44"/>
      <c r="AA16" s="44">
        <v>0</v>
      </c>
      <c r="AB16" s="44"/>
      <c r="AC16" s="44">
        <v>0</v>
      </c>
      <c r="AE16" s="44">
        <v>0</v>
      </c>
    </row>
    <row r="17" spans="1:32">
      <c r="A17" s="172" t="s">
        <v>74</v>
      </c>
      <c r="B17" s="44"/>
      <c r="C17" s="44">
        <v>0</v>
      </c>
      <c r="D17" s="44">
        <f t="shared" si="5"/>
        <v>0</v>
      </c>
      <c r="F17" s="44">
        <v>0</v>
      </c>
      <c r="G17" s="44">
        <v>0</v>
      </c>
      <c r="H17" s="44"/>
      <c r="I17" s="44">
        <f>F17+G17</f>
        <v>0</v>
      </c>
      <c r="K17" s="44">
        <v>0</v>
      </c>
      <c r="L17" s="44">
        <v>0</v>
      </c>
      <c r="M17" s="44"/>
      <c r="N17" s="44">
        <f>K17+L17</f>
        <v>0</v>
      </c>
      <c r="P17" s="44">
        <v>0</v>
      </c>
      <c r="Q17" s="44">
        <v>0</v>
      </c>
      <c r="R17" s="44"/>
      <c r="S17" s="44">
        <f>P17+Q17</f>
        <v>0</v>
      </c>
      <c r="U17" s="44">
        <v>0</v>
      </c>
      <c r="V17" s="44">
        <v>0</v>
      </c>
      <c r="W17" s="44"/>
      <c r="X17" s="44">
        <f>U17+V17</f>
        <v>0</v>
      </c>
      <c r="Y17" s="44"/>
      <c r="AA17" s="44">
        <v>0</v>
      </c>
      <c r="AB17" s="44"/>
      <c r="AC17" s="44">
        <v>0</v>
      </c>
      <c r="AE17" s="44">
        <v>0</v>
      </c>
    </row>
    <row r="18" spans="1:32">
      <c r="A18" s="173" t="s">
        <v>75</v>
      </c>
      <c r="B18" s="40"/>
      <c r="C18" s="40">
        <v>1103237.7887646509</v>
      </c>
      <c r="D18" s="40">
        <f t="shared" si="5"/>
        <v>1103237.7887646509</v>
      </c>
      <c r="F18" s="40">
        <v>0</v>
      </c>
      <c r="G18" s="40">
        <v>687133.19659969397</v>
      </c>
      <c r="H18" s="40">
        <v>105921</v>
      </c>
      <c r="I18" s="40">
        <f>SUM(F18:H18)</f>
        <v>793054.19659969397</v>
      </c>
      <c r="K18" s="40">
        <v>0</v>
      </c>
      <c r="L18" s="40">
        <v>748896.89297151193</v>
      </c>
      <c r="M18" s="40">
        <v>28965.259102063254</v>
      </c>
      <c r="N18" s="40">
        <f>SUM(K18:M18)</f>
        <v>777862.15207357518</v>
      </c>
      <c r="P18" s="40">
        <v>0</v>
      </c>
      <c r="Q18" s="40">
        <v>524340.34970169514</v>
      </c>
      <c r="R18" s="40">
        <v>159956.56733833253</v>
      </c>
      <c r="S18" s="40">
        <f>SUM(P18:R18)</f>
        <v>684296.91704002768</v>
      </c>
      <c r="U18" s="40">
        <v>0</v>
      </c>
      <c r="V18" s="40">
        <v>764344.23251985013</v>
      </c>
      <c r="W18" s="40">
        <v>13541.385622009635</v>
      </c>
      <c r="X18" s="40">
        <f>SUM(U18:W18)</f>
        <v>777885.61814185977</v>
      </c>
      <c r="Y18" s="40"/>
      <c r="AA18" s="40">
        <v>750000</v>
      </c>
      <c r="AB18" s="40"/>
      <c r="AC18" s="40">
        <f>SUM(AA18:AB18)</f>
        <v>750000</v>
      </c>
      <c r="AE18" s="40">
        <v>750000</v>
      </c>
    </row>
    <row r="19" spans="1:32">
      <c r="A19" s="49" t="s">
        <v>76</v>
      </c>
      <c r="B19" s="44"/>
      <c r="C19" s="44">
        <v>0</v>
      </c>
      <c r="D19" s="44">
        <f t="shared" si="5"/>
        <v>0</v>
      </c>
      <c r="F19" s="44">
        <v>0</v>
      </c>
      <c r="G19" s="44">
        <v>0</v>
      </c>
      <c r="H19" s="44"/>
      <c r="I19" s="44">
        <f>F19+G19</f>
        <v>0</v>
      </c>
      <c r="K19" s="44">
        <v>0</v>
      </c>
      <c r="L19" s="44">
        <v>688150.92603669316</v>
      </c>
      <c r="M19" s="44">
        <v>648687.59534346312</v>
      </c>
      <c r="N19" s="40">
        <f>SUM(K19:M19)</f>
        <v>1336838.5213801563</v>
      </c>
      <c r="P19" s="44">
        <v>0</v>
      </c>
      <c r="Q19" s="44">
        <v>0</v>
      </c>
      <c r="R19" s="44"/>
      <c r="S19" s="44">
        <f>P19+Q19</f>
        <v>0</v>
      </c>
      <c r="U19" s="44">
        <v>0</v>
      </c>
      <c r="V19" s="44">
        <v>0</v>
      </c>
      <c r="W19" s="44">
        <v>266594.71078196168</v>
      </c>
      <c r="X19" s="40">
        <f>SUM(U19:W19)</f>
        <v>266594.71078196168</v>
      </c>
      <c r="Y19" s="40"/>
      <c r="AA19" s="44">
        <v>0</v>
      </c>
      <c r="AB19" s="40"/>
      <c r="AC19" s="44">
        <v>0</v>
      </c>
      <c r="AE19" s="44">
        <v>0</v>
      </c>
    </row>
    <row r="20" spans="1:32">
      <c r="A20" s="172" t="s">
        <v>77</v>
      </c>
      <c r="B20" s="44"/>
      <c r="C20" s="44">
        <v>297974.61901311576</v>
      </c>
      <c r="D20" s="44">
        <f t="shared" si="5"/>
        <v>297974.61901311576</v>
      </c>
      <c r="F20" s="44">
        <v>0</v>
      </c>
      <c r="G20" s="44">
        <v>155426.31500356644</v>
      </c>
      <c r="H20" s="44">
        <v>82795</v>
      </c>
      <c r="I20" s="44">
        <f t="shared" ref="I20:I33" si="6">SUM(F20:H20)</f>
        <v>238221.31500356644</v>
      </c>
      <c r="K20" s="44">
        <v>0</v>
      </c>
      <c r="L20" s="44">
        <v>254730.76084275078</v>
      </c>
      <c r="M20" s="44">
        <v>-6784.4628770025447</v>
      </c>
      <c r="N20" s="44">
        <f>SUM(K20:M20)</f>
        <v>247946.29796574824</v>
      </c>
      <c r="P20" s="44">
        <v>0</v>
      </c>
      <c r="Q20" s="44">
        <v>93129.999873860739</v>
      </c>
      <c r="R20" s="44">
        <v>96537.394771841355</v>
      </c>
      <c r="S20" s="44">
        <f t="shared" ref="S20:S33" si="7">SUM(P20:R20)</f>
        <v>189667.39464570209</v>
      </c>
      <c r="U20" s="44">
        <v>0</v>
      </c>
      <c r="V20" s="44">
        <v>271699.06415980496</v>
      </c>
      <c r="W20" s="44">
        <v>-19447.368783339858</v>
      </c>
      <c r="X20" s="44">
        <f>SUM(U20:W20)</f>
        <v>252251.6953764651</v>
      </c>
      <c r="Y20" s="44"/>
      <c r="AA20" s="44">
        <v>250000</v>
      </c>
      <c r="AB20" s="44"/>
      <c r="AC20" s="40">
        <f>SUM(AA20:AB20)</f>
        <v>250000</v>
      </c>
      <c r="AE20" s="44">
        <v>250000</v>
      </c>
    </row>
    <row r="21" spans="1:32">
      <c r="A21" s="173" t="s">
        <v>78</v>
      </c>
      <c r="B21" s="40"/>
      <c r="C21" s="40">
        <v>1943052.7583078966</v>
      </c>
      <c r="D21" s="40">
        <f t="shared" si="5"/>
        <v>1943052.7583078966</v>
      </c>
      <c r="F21" s="40">
        <v>0</v>
      </c>
      <c r="G21" s="40">
        <v>0</v>
      </c>
      <c r="H21" s="40"/>
      <c r="I21" s="40">
        <f t="shared" si="6"/>
        <v>0</v>
      </c>
      <c r="K21" s="40">
        <v>0</v>
      </c>
      <c r="L21" s="40">
        <v>0</v>
      </c>
      <c r="M21" s="40"/>
      <c r="N21" s="40">
        <f t="shared" ref="N21:N33" si="8">SUM(K21:M21)</f>
        <v>0</v>
      </c>
      <c r="P21" s="40">
        <v>0</v>
      </c>
      <c r="Q21" s="40">
        <v>0</v>
      </c>
      <c r="R21" s="40"/>
      <c r="S21" s="40">
        <f t="shared" si="7"/>
        <v>0</v>
      </c>
      <c r="U21" s="40">
        <v>0</v>
      </c>
      <c r="V21" s="40">
        <v>0</v>
      </c>
      <c r="W21" s="40"/>
      <c r="X21" s="40">
        <f t="shared" ref="X21:X32" si="9">SUM(U21:W21)</f>
        <v>0</v>
      </c>
      <c r="Y21" s="40"/>
      <c r="AA21" s="40">
        <v>0</v>
      </c>
      <c r="AB21" s="40"/>
      <c r="AC21" s="40">
        <v>0</v>
      </c>
      <c r="AE21" s="40">
        <v>0</v>
      </c>
    </row>
    <row r="22" spans="1:32">
      <c r="A22" s="172" t="s">
        <v>79</v>
      </c>
      <c r="B22" s="44"/>
      <c r="C22" s="44">
        <v>2139096.4901155904</v>
      </c>
      <c r="D22" s="44">
        <f t="shared" si="5"/>
        <v>2139096.4901155904</v>
      </c>
      <c r="F22" s="44">
        <v>0</v>
      </c>
      <c r="G22" s="44">
        <v>1560348.2361852974</v>
      </c>
      <c r="H22" s="44">
        <v>545053</v>
      </c>
      <c r="I22" s="44">
        <f t="shared" si="6"/>
        <v>2105401.2361852974</v>
      </c>
      <c r="K22" s="44">
        <v>0</v>
      </c>
      <c r="L22" s="44">
        <v>2380150.2858551089</v>
      </c>
      <c r="M22" s="44">
        <v>325186.62599823624</v>
      </c>
      <c r="N22" s="44">
        <f t="shared" si="8"/>
        <v>2705336.9118533451</v>
      </c>
      <c r="P22" s="44">
        <v>0</v>
      </c>
      <c r="Q22" s="44">
        <v>1634372.817863021</v>
      </c>
      <c r="R22" s="44">
        <v>909111.61432333849</v>
      </c>
      <c r="S22" s="44">
        <f t="shared" si="7"/>
        <v>2543484.4321863595</v>
      </c>
      <c r="U22" s="44">
        <v>0</v>
      </c>
      <c r="V22" s="44">
        <v>2420587.8286072835</v>
      </c>
      <c r="W22" s="44">
        <v>301340.16823094897</v>
      </c>
      <c r="X22" s="44">
        <f t="shared" si="9"/>
        <v>2721927.9968382325</v>
      </c>
      <c r="Y22" s="44"/>
      <c r="AA22" s="44">
        <v>2600000</v>
      </c>
      <c r="AB22" s="44"/>
      <c r="AC22" s="40">
        <f>SUM(AA22:AB22)</f>
        <v>2600000</v>
      </c>
      <c r="AE22" s="44">
        <v>2600000</v>
      </c>
    </row>
    <row r="23" spans="1:32">
      <c r="A23" s="172" t="s">
        <v>80</v>
      </c>
      <c r="B23" s="50">
        <v>3325100.5876671132</v>
      </c>
      <c r="C23" s="50">
        <v>0</v>
      </c>
      <c r="D23" s="50">
        <f t="shared" si="5"/>
        <v>3325100.5876671132</v>
      </c>
      <c r="F23" s="50">
        <v>2742048.3454786278</v>
      </c>
      <c r="G23" s="50">
        <v>90841.544564101845</v>
      </c>
      <c r="H23" s="50">
        <v>328428</v>
      </c>
      <c r="I23" s="50">
        <f t="shared" si="6"/>
        <v>3161317.8900427297</v>
      </c>
      <c r="K23" s="50">
        <v>3541403.2196678892</v>
      </c>
      <c r="L23" s="50">
        <v>0</v>
      </c>
      <c r="M23" s="50">
        <v>37202.509819352999</v>
      </c>
      <c r="N23" s="50">
        <f t="shared" si="8"/>
        <v>3578605.7294872422</v>
      </c>
      <c r="P23" s="50">
        <v>3427597.7975860052</v>
      </c>
      <c r="Q23" s="50">
        <v>0</v>
      </c>
      <c r="R23" s="50">
        <v>56674.408126225695</v>
      </c>
      <c r="S23" s="50">
        <f t="shared" si="7"/>
        <v>3484272.2057122309</v>
      </c>
      <c r="U23" s="50">
        <v>3543640.2693739235</v>
      </c>
      <c r="V23" s="50">
        <v>0</v>
      </c>
      <c r="W23" s="50">
        <v>25625.268925221637</v>
      </c>
      <c r="X23" s="50">
        <f t="shared" si="9"/>
        <v>3569265.5382991452</v>
      </c>
      <c r="Y23" s="50"/>
      <c r="AA23" s="50">
        <v>3500000</v>
      </c>
      <c r="AB23" s="50">
        <v>-570000</v>
      </c>
      <c r="AC23" s="40">
        <f>SUM(AA23:AB23)</f>
        <v>2930000</v>
      </c>
      <c r="AE23" s="50">
        <v>2930000</v>
      </c>
    </row>
    <row r="24" spans="1:32">
      <c r="A24" s="173" t="s">
        <v>81</v>
      </c>
      <c r="B24" s="40"/>
      <c r="C24" s="40">
        <v>354475.9127304405</v>
      </c>
      <c r="D24" s="40">
        <f t="shared" si="5"/>
        <v>354475.9127304405</v>
      </c>
      <c r="F24" s="40">
        <v>0</v>
      </c>
      <c r="G24" s="40">
        <v>0</v>
      </c>
      <c r="H24" s="40"/>
      <c r="I24" s="40">
        <f t="shared" si="6"/>
        <v>0</v>
      </c>
      <c r="K24" s="40">
        <v>0</v>
      </c>
      <c r="L24" s="40">
        <v>0</v>
      </c>
      <c r="M24" s="40"/>
      <c r="N24" s="40">
        <f t="shared" si="8"/>
        <v>0</v>
      </c>
      <c r="P24" s="40">
        <v>0</v>
      </c>
      <c r="Q24" s="40">
        <v>0</v>
      </c>
      <c r="R24" s="40"/>
      <c r="S24" s="40">
        <f t="shared" si="7"/>
        <v>0</v>
      </c>
      <c r="U24" s="40">
        <v>0</v>
      </c>
      <c r="V24" s="40">
        <v>0</v>
      </c>
      <c r="W24" s="40"/>
      <c r="X24" s="40">
        <f t="shared" si="9"/>
        <v>0</v>
      </c>
      <c r="Y24" s="40"/>
      <c r="AA24" s="40">
        <v>0</v>
      </c>
      <c r="AB24" s="40"/>
      <c r="AC24" s="40">
        <v>0</v>
      </c>
      <c r="AE24" s="40">
        <v>0</v>
      </c>
    </row>
    <row r="25" spans="1:32">
      <c r="A25" s="172" t="s">
        <v>82</v>
      </c>
      <c r="B25" s="50">
        <v>3750330.5917715095</v>
      </c>
      <c r="C25" s="50">
        <v>3323496.7153846137</v>
      </c>
      <c r="D25" s="50">
        <f t="shared" si="5"/>
        <v>7073827.3071561232</v>
      </c>
      <c r="F25" s="50">
        <v>1418150.0787521563</v>
      </c>
      <c r="G25" s="50">
        <v>5447193.458615385</v>
      </c>
      <c r="H25" s="50">
        <v>-419042</v>
      </c>
      <c r="I25" s="50">
        <f t="shared" si="6"/>
        <v>6446301.5373675413</v>
      </c>
      <c r="K25" s="50">
        <v>2036166.5411837883</v>
      </c>
      <c r="L25" s="50">
        <v>4439544.1227692328</v>
      </c>
      <c r="M25" s="50">
        <v>80906.175075497478</v>
      </c>
      <c r="N25" s="50">
        <f t="shared" si="8"/>
        <v>6556616.8390285186</v>
      </c>
      <c r="P25" s="50">
        <v>1955550.5570398942</v>
      </c>
      <c r="Q25" s="50">
        <v>4859019.8967692293</v>
      </c>
      <c r="R25" s="50">
        <v>-325041.28904803842</v>
      </c>
      <c r="S25" s="50">
        <f t="shared" si="7"/>
        <v>6489529.1647610851</v>
      </c>
      <c r="U25" s="50">
        <v>2039525.9219778292</v>
      </c>
      <c r="V25" s="50">
        <v>4439544.1227692328</v>
      </c>
      <c r="W25" s="50">
        <v>72872.97088329494</v>
      </c>
      <c r="X25" s="50">
        <f t="shared" si="9"/>
        <v>6551943.015630357</v>
      </c>
      <c r="Y25" s="50"/>
      <c r="AA25" s="50">
        <v>6500000</v>
      </c>
      <c r="AB25" s="50">
        <v>410000</v>
      </c>
      <c r="AC25" s="40">
        <f>SUM(AA25:AB25)</f>
        <v>6910000</v>
      </c>
      <c r="AE25" s="50">
        <v>7210000</v>
      </c>
      <c r="AF25" t="s">
        <v>1481</v>
      </c>
    </row>
    <row r="26" spans="1:32">
      <c r="A26" s="172" t="s">
        <v>83</v>
      </c>
      <c r="B26" s="44"/>
      <c r="C26" s="44"/>
      <c r="D26" s="44">
        <f t="shared" si="5"/>
        <v>0</v>
      </c>
      <c r="F26" s="44">
        <v>0</v>
      </c>
      <c r="G26" s="44">
        <v>0</v>
      </c>
      <c r="H26" s="44"/>
      <c r="I26" s="44">
        <f t="shared" si="6"/>
        <v>0</v>
      </c>
      <c r="K26" s="44">
        <v>0</v>
      </c>
      <c r="L26" s="44">
        <v>0</v>
      </c>
      <c r="M26" s="44"/>
      <c r="N26" s="44">
        <f t="shared" si="8"/>
        <v>0</v>
      </c>
      <c r="P26" s="44">
        <v>0</v>
      </c>
      <c r="Q26" s="44">
        <v>0</v>
      </c>
      <c r="R26" s="44"/>
      <c r="S26" s="44">
        <f t="shared" si="7"/>
        <v>0</v>
      </c>
      <c r="U26" s="44">
        <v>0</v>
      </c>
      <c r="V26" s="44">
        <v>0</v>
      </c>
      <c r="W26" s="44"/>
      <c r="X26" s="44">
        <f t="shared" si="9"/>
        <v>0</v>
      </c>
      <c r="Y26" s="44"/>
      <c r="AA26" s="44">
        <v>0</v>
      </c>
      <c r="AB26" s="44"/>
      <c r="AC26" s="44">
        <v>0</v>
      </c>
      <c r="AE26" s="44">
        <v>0</v>
      </c>
    </row>
    <row r="27" spans="1:32">
      <c r="A27" s="173" t="s">
        <v>84</v>
      </c>
      <c r="B27" s="40"/>
      <c r="C27" s="40"/>
      <c r="D27" s="40">
        <f t="shared" si="5"/>
        <v>0</v>
      </c>
      <c r="F27" s="40">
        <v>0</v>
      </c>
      <c r="G27" s="40">
        <v>0</v>
      </c>
      <c r="H27" s="40"/>
      <c r="I27" s="40">
        <f t="shared" si="6"/>
        <v>0</v>
      </c>
      <c r="K27" s="40">
        <v>0</v>
      </c>
      <c r="L27" s="40">
        <v>0</v>
      </c>
      <c r="M27" s="40"/>
      <c r="N27" s="40">
        <f t="shared" si="8"/>
        <v>0</v>
      </c>
      <c r="P27" s="40">
        <v>0</v>
      </c>
      <c r="Q27" s="40">
        <v>0</v>
      </c>
      <c r="R27" s="40"/>
      <c r="S27" s="40">
        <f t="shared" si="7"/>
        <v>0</v>
      </c>
      <c r="U27" s="40">
        <v>0</v>
      </c>
      <c r="V27" s="40">
        <v>0</v>
      </c>
      <c r="W27" s="40"/>
      <c r="X27" s="40">
        <f t="shared" si="9"/>
        <v>0</v>
      </c>
      <c r="Y27" s="40"/>
      <c r="AA27" s="40">
        <v>0</v>
      </c>
      <c r="AB27" s="40"/>
      <c r="AC27" s="40">
        <v>0</v>
      </c>
      <c r="AE27" s="40">
        <v>0</v>
      </c>
    </row>
    <row r="28" spans="1:32">
      <c r="A28" s="49" t="s">
        <v>86</v>
      </c>
      <c r="B28" s="50"/>
      <c r="C28" s="50"/>
      <c r="D28" s="50">
        <f t="shared" si="5"/>
        <v>0</v>
      </c>
      <c r="F28" s="50">
        <v>0</v>
      </c>
      <c r="G28" s="50">
        <v>0</v>
      </c>
      <c r="H28" s="50"/>
      <c r="I28" s="50">
        <f t="shared" si="6"/>
        <v>0</v>
      </c>
      <c r="K28" s="50">
        <v>0</v>
      </c>
      <c r="L28" s="50">
        <v>0</v>
      </c>
      <c r="M28" s="50"/>
      <c r="N28" s="50">
        <f t="shared" si="8"/>
        <v>0</v>
      </c>
      <c r="P28" s="50">
        <v>0</v>
      </c>
      <c r="Q28" s="50">
        <v>0</v>
      </c>
      <c r="R28" s="50"/>
      <c r="S28" s="50">
        <f t="shared" si="7"/>
        <v>0</v>
      </c>
      <c r="U28" s="50">
        <v>0</v>
      </c>
      <c r="V28" s="50">
        <v>0</v>
      </c>
      <c r="W28" s="50"/>
      <c r="X28" s="50">
        <f t="shared" si="9"/>
        <v>0</v>
      </c>
      <c r="Y28" s="50"/>
      <c r="AA28" s="50">
        <v>0</v>
      </c>
      <c r="AB28" s="50"/>
      <c r="AC28" s="50">
        <v>0</v>
      </c>
      <c r="AE28" s="50">
        <v>0</v>
      </c>
    </row>
    <row r="29" spans="1:32">
      <c r="A29" s="172" t="s">
        <v>87</v>
      </c>
      <c r="B29" s="44"/>
      <c r="C29" s="44"/>
      <c r="D29" s="44">
        <f t="shared" si="5"/>
        <v>0</v>
      </c>
      <c r="F29" s="44">
        <v>0</v>
      </c>
      <c r="G29" s="44">
        <v>0</v>
      </c>
      <c r="H29" s="44"/>
      <c r="I29" s="44">
        <f t="shared" si="6"/>
        <v>0</v>
      </c>
      <c r="K29" s="44">
        <v>0</v>
      </c>
      <c r="L29" s="44">
        <v>0</v>
      </c>
      <c r="M29" s="44"/>
      <c r="N29" s="44">
        <f t="shared" si="8"/>
        <v>0</v>
      </c>
      <c r="P29" s="44">
        <v>0</v>
      </c>
      <c r="Q29" s="44">
        <v>0</v>
      </c>
      <c r="R29" s="44"/>
      <c r="S29" s="44">
        <f t="shared" si="7"/>
        <v>0</v>
      </c>
      <c r="U29" s="44">
        <v>0</v>
      </c>
      <c r="V29" s="44">
        <v>0</v>
      </c>
      <c r="W29" s="44"/>
      <c r="X29" s="44">
        <f t="shared" si="9"/>
        <v>0</v>
      </c>
      <c r="Y29" s="44"/>
      <c r="AA29" s="44">
        <v>0</v>
      </c>
      <c r="AB29" s="44"/>
      <c r="AC29" s="44">
        <v>0</v>
      </c>
      <c r="AE29" s="44">
        <v>0</v>
      </c>
    </row>
    <row r="30" spans="1:32">
      <c r="A30" s="359" t="s">
        <v>452</v>
      </c>
      <c r="B30" s="221"/>
      <c r="C30" s="221"/>
      <c r="D30" s="221">
        <f t="shared" si="5"/>
        <v>0</v>
      </c>
      <c r="F30" s="221">
        <v>0</v>
      </c>
      <c r="G30" s="221">
        <v>0</v>
      </c>
      <c r="H30" s="221"/>
      <c r="I30" s="221">
        <f t="shared" si="6"/>
        <v>0</v>
      </c>
      <c r="K30" s="221">
        <v>0</v>
      </c>
      <c r="L30" s="221">
        <v>0</v>
      </c>
      <c r="M30" s="221"/>
      <c r="N30" s="221">
        <f t="shared" si="8"/>
        <v>0</v>
      </c>
      <c r="P30" s="221">
        <v>0</v>
      </c>
      <c r="Q30" s="221">
        <v>0</v>
      </c>
      <c r="R30" s="221"/>
      <c r="S30" s="221">
        <f t="shared" si="7"/>
        <v>0</v>
      </c>
      <c r="U30" s="221">
        <v>0</v>
      </c>
      <c r="V30" s="221">
        <v>0</v>
      </c>
      <c r="W30" s="221"/>
      <c r="X30" s="221">
        <f t="shared" si="9"/>
        <v>0</v>
      </c>
      <c r="Y30" s="221"/>
      <c r="AA30" s="221">
        <v>0</v>
      </c>
      <c r="AB30" s="221"/>
      <c r="AC30" s="221">
        <v>0</v>
      </c>
      <c r="AE30" s="221">
        <v>0</v>
      </c>
    </row>
    <row r="31" spans="1:32">
      <c r="A31" s="358" t="s">
        <v>453</v>
      </c>
      <c r="B31" s="50"/>
      <c r="C31" s="50"/>
      <c r="D31" s="50">
        <f t="shared" si="5"/>
        <v>0</v>
      </c>
      <c r="F31" s="50">
        <v>0</v>
      </c>
      <c r="G31" s="50">
        <v>0</v>
      </c>
      <c r="H31" s="50"/>
      <c r="I31" s="50">
        <f t="shared" si="6"/>
        <v>0</v>
      </c>
      <c r="K31" s="50">
        <v>0</v>
      </c>
      <c r="L31" s="50">
        <v>0</v>
      </c>
      <c r="M31" s="50"/>
      <c r="N31" s="50">
        <f t="shared" si="8"/>
        <v>0</v>
      </c>
      <c r="P31" s="50">
        <v>0</v>
      </c>
      <c r="Q31" s="50">
        <v>0</v>
      </c>
      <c r="R31" s="50"/>
      <c r="S31" s="50">
        <f t="shared" si="7"/>
        <v>0</v>
      </c>
      <c r="U31" s="50">
        <v>0</v>
      </c>
      <c r="V31" s="50">
        <v>0</v>
      </c>
      <c r="W31" s="50"/>
      <c r="X31" s="50">
        <f t="shared" si="9"/>
        <v>0</v>
      </c>
      <c r="Y31" s="50"/>
      <c r="AA31" s="50">
        <v>0</v>
      </c>
      <c r="AB31" s="50"/>
      <c r="AC31" s="50">
        <v>0</v>
      </c>
      <c r="AE31" s="50">
        <v>0</v>
      </c>
    </row>
    <row r="32" spans="1:32">
      <c r="A32" s="172" t="s">
        <v>88</v>
      </c>
      <c r="B32" s="44"/>
      <c r="C32" s="44"/>
      <c r="D32" s="44">
        <f t="shared" si="5"/>
        <v>0</v>
      </c>
      <c r="F32" s="44">
        <v>0</v>
      </c>
      <c r="G32" s="44">
        <v>0</v>
      </c>
      <c r="H32" s="44"/>
      <c r="I32" s="44">
        <f t="shared" si="6"/>
        <v>0</v>
      </c>
      <c r="K32" s="44">
        <v>0</v>
      </c>
      <c r="L32" s="44">
        <v>0</v>
      </c>
      <c r="M32" s="44"/>
      <c r="N32" s="44">
        <f t="shared" si="8"/>
        <v>0</v>
      </c>
      <c r="P32" s="44">
        <v>0</v>
      </c>
      <c r="Q32" s="44">
        <v>0</v>
      </c>
      <c r="R32" s="44"/>
      <c r="S32" s="44">
        <f t="shared" si="7"/>
        <v>0</v>
      </c>
      <c r="U32" s="44">
        <v>0</v>
      </c>
      <c r="V32" s="44">
        <v>0</v>
      </c>
      <c r="W32" s="44"/>
      <c r="X32" s="44">
        <f t="shared" si="9"/>
        <v>0</v>
      </c>
      <c r="Y32" s="44"/>
      <c r="AA32" s="44">
        <v>0</v>
      </c>
      <c r="AB32" s="44"/>
      <c r="AC32" s="44">
        <v>0</v>
      </c>
      <c r="AE32" s="44">
        <v>0</v>
      </c>
    </row>
    <row r="33" spans="1:31">
      <c r="A33" s="359" t="s">
        <v>89</v>
      </c>
      <c r="B33" s="221"/>
      <c r="C33" s="221">
        <v>8087238.2680635098</v>
      </c>
      <c r="D33" s="221">
        <f t="shared" si="5"/>
        <v>8087238.2680635098</v>
      </c>
      <c r="F33" s="221">
        <v>0</v>
      </c>
      <c r="G33" s="221">
        <v>8164951.0989410859</v>
      </c>
      <c r="H33" s="221">
        <v>-558841</v>
      </c>
      <c r="I33" s="221">
        <f t="shared" si="6"/>
        <v>7606110.0989410859</v>
      </c>
      <c r="K33" s="221">
        <v>0</v>
      </c>
      <c r="L33" s="221">
        <v>8991531.0498785228</v>
      </c>
      <c r="M33" s="221">
        <v>-565572.30350889452</v>
      </c>
      <c r="N33" s="221">
        <f t="shared" si="8"/>
        <v>8425958.7463696282</v>
      </c>
      <c r="P33" s="221">
        <v>0</v>
      </c>
      <c r="Q33" s="221">
        <v>8840909.1025660001</v>
      </c>
      <c r="R33" s="221">
        <v>-435419.2521261517</v>
      </c>
      <c r="S33" s="221">
        <f t="shared" si="7"/>
        <v>8405489.8504398484</v>
      </c>
      <c r="U33" s="221">
        <v>0</v>
      </c>
      <c r="V33" s="221">
        <v>8991531.0498785228</v>
      </c>
      <c r="W33" s="221">
        <v>-568026.99146278575</v>
      </c>
      <c r="X33" s="221">
        <f>SUM(U33:W33)</f>
        <v>8423504.058415737</v>
      </c>
      <c r="Y33" s="221"/>
      <c r="AA33" s="221">
        <v>8400000</v>
      </c>
      <c r="AB33" s="221"/>
      <c r="AC33" s="40">
        <f>SUM(AA33:AB33)</f>
        <v>8400000</v>
      </c>
      <c r="AE33" s="221">
        <v>8400000</v>
      </c>
    </row>
    <row r="34" spans="1:31">
      <c r="A34" s="362" t="s">
        <v>90</v>
      </c>
      <c r="B34" s="363">
        <v>7075431.1794386227</v>
      </c>
      <c r="C34" s="363">
        <v>18794188.882062927</v>
      </c>
      <c r="D34" s="363">
        <f>SUM(D15:D33)</f>
        <v>25869620.061501548</v>
      </c>
      <c r="F34" s="363">
        <v>4160198.4242307842</v>
      </c>
      <c r="G34" s="363">
        <v>16105893.84990913</v>
      </c>
      <c r="H34" s="363">
        <f>SUM(H18:H33)</f>
        <v>84314</v>
      </c>
      <c r="I34" s="363">
        <f>SUM(I15:I33)</f>
        <v>20350406.274139915</v>
      </c>
      <c r="K34" s="363">
        <v>5577569.7608516775</v>
      </c>
      <c r="L34" s="363">
        <v>17503004.038353819</v>
      </c>
      <c r="M34" s="363"/>
      <c r="N34" s="363">
        <f>SUM(N15:N33)</f>
        <v>23629165.198158212</v>
      </c>
      <c r="P34" s="363">
        <f>SUM(P18:P33)</f>
        <v>5383148.3546258993</v>
      </c>
      <c r="Q34" s="363">
        <f>SUM(Q18:Q33)</f>
        <v>15951772.166773807</v>
      </c>
      <c r="R34" s="363">
        <f>SUM(R18:R33)</f>
        <v>461819.44338554796</v>
      </c>
      <c r="S34" s="363">
        <f>SUM(S18:S33)</f>
        <v>21796739.964785255</v>
      </c>
      <c r="U34" s="363">
        <v>5577569.7608516775</v>
      </c>
      <c r="V34" s="363">
        <v>17503004.038353819</v>
      </c>
      <c r="W34" s="363"/>
      <c r="X34" s="363">
        <f>SUM(X15:X33)</f>
        <v>22563372.63348376</v>
      </c>
      <c r="Y34" s="636"/>
      <c r="AA34" s="363">
        <f>SUM(AA15:AA33)</f>
        <v>22000000</v>
      </c>
      <c r="AB34" s="636"/>
      <c r="AC34" s="363">
        <f>SUM(AC15:AC33)</f>
        <v>21840000</v>
      </c>
      <c r="AE34" s="363">
        <v>22140000</v>
      </c>
    </row>
    <row r="35" spans="1:31">
      <c r="A35" s="172"/>
      <c r="B35" s="42"/>
      <c r="C35" s="42"/>
      <c r="D35" s="42"/>
      <c r="F35" s="42"/>
      <c r="G35" s="42"/>
      <c r="H35" s="42"/>
      <c r="I35" s="42"/>
      <c r="K35" s="42"/>
      <c r="L35" s="42"/>
      <c r="M35" s="42"/>
      <c r="N35" s="42"/>
      <c r="P35" s="42"/>
      <c r="Q35" s="42"/>
      <c r="R35" s="42"/>
      <c r="S35" s="42"/>
      <c r="U35" s="42"/>
      <c r="V35" s="42"/>
      <c r="W35" s="42"/>
      <c r="X35" s="42"/>
      <c r="Y35" s="42"/>
      <c r="AA35" s="42"/>
      <c r="AB35" s="42"/>
      <c r="AC35" s="42"/>
    </row>
    <row r="36" spans="1:31">
      <c r="A36" s="162"/>
    </row>
    <row r="37" spans="1:31">
      <c r="A37" s="49" t="s">
        <v>91</v>
      </c>
      <c r="B37" s="50"/>
      <c r="C37" s="50"/>
      <c r="D37" s="50"/>
      <c r="F37" s="50"/>
      <c r="G37" s="50"/>
      <c r="H37" s="50"/>
      <c r="I37" s="50"/>
      <c r="K37" s="50"/>
      <c r="L37" s="50"/>
      <c r="M37" s="50"/>
      <c r="N37" s="50"/>
      <c r="P37" s="50"/>
      <c r="Q37" s="50"/>
      <c r="R37" s="50"/>
      <c r="S37" s="50"/>
      <c r="U37" s="50"/>
      <c r="V37" s="50"/>
      <c r="W37" s="50"/>
      <c r="X37" s="50"/>
      <c r="Y37" s="50"/>
      <c r="AA37" s="50"/>
      <c r="AB37" s="50"/>
      <c r="AC37" s="50"/>
    </row>
    <row r="38" spans="1:31">
      <c r="A38" s="173" t="s">
        <v>92</v>
      </c>
      <c r="B38" s="40"/>
      <c r="C38" s="40"/>
      <c r="D38" s="40">
        <f t="shared" ref="D38:D55" si="10">B38+C38</f>
        <v>0</v>
      </c>
      <c r="F38" s="40">
        <v>0</v>
      </c>
      <c r="G38" s="40">
        <v>0</v>
      </c>
      <c r="H38" s="40"/>
      <c r="I38" s="40">
        <f t="shared" ref="I38:I55" si="11">F38+G38</f>
        <v>0</v>
      </c>
      <c r="K38" s="40">
        <v>0</v>
      </c>
      <c r="L38" s="40"/>
      <c r="M38" s="40"/>
      <c r="N38" s="40">
        <f t="shared" ref="N38:N55" si="12">K38+L38</f>
        <v>0</v>
      </c>
      <c r="P38" s="40">
        <v>0</v>
      </c>
      <c r="Q38" s="40"/>
      <c r="R38" s="40"/>
      <c r="S38" s="40">
        <f t="shared" ref="S38:S55" si="13">P38+Q38</f>
        <v>0</v>
      </c>
      <c r="U38" s="40">
        <v>0</v>
      </c>
      <c r="V38" s="40"/>
      <c r="W38" s="40"/>
      <c r="X38" s="40">
        <f t="shared" ref="X38:X55" si="14">U38+V38</f>
        <v>0</v>
      </c>
      <c r="Y38" s="40"/>
      <c r="AA38" s="40">
        <v>0</v>
      </c>
      <c r="AB38" s="40"/>
      <c r="AC38" s="40">
        <v>0</v>
      </c>
    </row>
    <row r="39" spans="1:31">
      <c r="A39" s="172" t="s">
        <v>93</v>
      </c>
      <c r="B39" s="50"/>
      <c r="C39" s="50"/>
      <c r="D39" s="50">
        <f t="shared" si="10"/>
        <v>0</v>
      </c>
      <c r="F39" s="50">
        <v>0</v>
      </c>
      <c r="G39" s="50">
        <v>0</v>
      </c>
      <c r="H39" s="50"/>
      <c r="I39" s="50">
        <f t="shared" si="11"/>
        <v>0</v>
      </c>
      <c r="K39" s="50">
        <v>0</v>
      </c>
      <c r="L39" s="50"/>
      <c r="M39" s="50"/>
      <c r="N39" s="50">
        <f t="shared" si="12"/>
        <v>0</v>
      </c>
      <c r="P39" s="50">
        <v>0</v>
      </c>
      <c r="Q39" s="50"/>
      <c r="R39" s="50"/>
      <c r="S39" s="50">
        <f t="shared" si="13"/>
        <v>0</v>
      </c>
      <c r="U39" s="50">
        <v>0</v>
      </c>
      <c r="V39" s="50"/>
      <c r="W39" s="50"/>
      <c r="X39" s="50">
        <f t="shared" si="14"/>
        <v>0</v>
      </c>
      <c r="Y39" s="50"/>
      <c r="AA39" s="50">
        <v>0</v>
      </c>
      <c r="AB39" s="50"/>
      <c r="AC39" s="50">
        <v>0</v>
      </c>
    </row>
    <row r="40" spans="1:31">
      <c r="A40" s="49" t="s">
        <v>94</v>
      </c>
      <c r="B40" s="50"/>
      <c r="C40" s="50"/>
      <c r="D40" s="50">
        <f t="shared" si="10"/>
        <v>0</v>
      </c>
      <c r="F40" s="50">
        <v>0</v>
      </c>
      <c r="G40" s="50">
        <v>0</v>
      </c>
      <c r="H40" s="50"/>
      <c r="I40" s="50">
        <f t="shared" si="11"/>
        <v>0</v>
      </c>
      <c r="K40" s="50">
        <v>0</v>
      </c>
      <c r="L40" s="50"/>
      <c r="M40" s="50"/>
      <c r="N40" s="50">
        <f t="shared" si="12"/>
        <v>0</v>
      </c>
      <c r="P40" s="50">
        <v>0</v>
      </c>
      <c r="Q40" s="50"/>
      <c r="R40" s="50"/>
      <c r="S40" s="50">
        <f t="shared" si="13"/>
        <v>0</v>
      </c>
      <c r="U40" s="50">
        <v>0</v>
      </c>
      <c r="V40" s="50"/>
      <c r="W40" s="50"/>
      <c r="X40" s="50">
        <f t="shared" si="14"/>
        <v>0</v>
      </c>
      <c r="Y40" s="50"/>
      <c r="AA40" s="50">
        <v>0</v>
      </c>
      <c r="AB40" s="50"/>
      <c r="AC40" s="50">
        <v>0</v>
      </c>
    </row>
    <row r="41" spans="1:31">
      <c r="A41" s="173" t="s">
        <v>95</v>
      </c>
      <c r="B41" s="40"/>
      <c r="C41" s="40"/>
      <c r="D41" s="40">
        <f t="shared" si="10"/>
        <v>0</v>
      </c>
      <c r="F41" s="40">
        <v>0</v>
      </c>
      <c r="G41" s="40">
        <v>0</v>
      </c>
      <c r="H41" s="40"/>
      <c r="I41" s="40">
        <f t="shared" si="11"/>
        <v>0</v>
      </c>
      <c r="K41" s="40">
        <v>0</v>
      </c>
      <c r="L41" s="40"/>
      <c r="M41" s="40"/>
      <c r="N41" s="40">
        <f t="shared" si="12"/>
        <v>0</v>
      </c>
      <c r="P41" s="40">
        <v>0</v>
      </c>
      <c r="Q41" s="40"/>
      <c r="R41" s="40"/>
      <c r="S41" s="40">
        <f t="shared" si="13"/>
        <v>0</v>
      </c>
      <c r="U41" s="40">
        <v>0</v>
      </c>
      <c r="V41" s="40"/>
      <c r="W41" s="40"/>
      <c r="X41" s="40">
        <f t="shared" si="14"/>
        <v>0</v>
      </c>
      <c r="Y41" s="40"/>
      <c r="AA41" s="40">
        <v>0</v>
      </c>
      <c r="AB41" s="40"/>
      <c r="AC41" s="40">
        <v>0</v>
      </c>
    </row>
    <row r="42" spans="1:31">
      <c r="A42" s="172" t="s">
        <v>96</v>
      </c>
      <c r="B42" s="50"/>
      <c r="C42" s="50"/>
      <c r="D42" s="50">
        <f t="shared" si="10"/>
        <v>0</v>
      </c>
      <c r="F42" s="50">
        <v>0</v>
      </c>
      <c r="G42" s="50">
        <v>0</v>
      </c>
      <c r="H42" s="50"/>
      <c r="I42" s="50">
        <f t="shared" si="11"/>
        <v>0</v>
      </c>
      <c r="K42" s="50">
        <v>0</v>
      </c>
      <c r="L42" s="50"/>
      <c r="M42" s="50"/>
      <c r="N42" s="50">
        <f t="shared" si="12"/>
        <v>0</v>
      </c>
      <c r="P42" s="50">
        <v>0</v>
      </c>
      <c r="Q42" s="50"/>
      <c r="R42" s="50"/>
      <c r="S42" s="50">
        <f t="shared" si="13"/>
        <v>0</v>
      </c>
      <c r="U42" s="50">
        <v>0</v>
      </c>
      <c r="V42" s="50"/>
      <c r="W42" s="50"/>
      <c r="X42" s="50">
        <f t="shared" si="14"/>
        <v>0</v>
      </c>
      <c r="Y42" s="50"/>
      <c r="AA42" s="50">
        <v>0</v>
      </c>
      <c r="AB42" s="50"/>
      <c r="AC42" s="50">
        <v>0</v>
      </c>
    </row>
    <row r="43" spans="1:31">
      <c r="A43" s="358" t="s">
        <v>474</v>
      </c>
      <c r="B43" s="50"/>
      <c r="C43" s="50"/>
      <c r="D43" s="50">
        <f t="shared" si="10"/>
        <v>0</v>
      </c>
      <c r="F43" s="50">
        <v>0</v>
      </c>
      <c r="G43" s="50">
        <v>0</v>
      </c>
      <c r="H43" s="50"/>
      <c r="I43" s="50">
        <f t="shared" si="11"/>
        <v>0</v>
      </c>
      <c r="K43" s="50">
        <v>0</v>
      </c>
      <c r="L43" s="50"/>
      <c r="M43" s="50"/>
      <c r="N43" s="50">
        <f t="shared" si="12"/>
        <v>0</v>
      </c>
      <c r="P43" s="50">
        <v>0</v>
      </c>
      <c r="Q43" s="50"/>
      <c r="R43" s="50"/>
      <c r="S43" s="50">
        <f t="shared" si="13"/>
        <v>0</v>
      </c>
      <c r="U43" s="50">
        <v>0</v>
      </c>
      <c r="V43" s="50"/>
      <c r="W43" s="50"/>
      <c r="X43" s="50">
        <f t="shared" si="14"/>
        <v>0</v>
      </c>
      <c r="Y43" s="50"/>
      <c r="AA43" s="50">
        <v>0</v>
      </c>
      <c r="AB43" s="50"/>
      <c r="AC43" s="50">
        <v>0</v>
      </c>
    </row>
    <row r="44" spans="1:31">
      <c r="A44" s="172" t="s">
        <v>97</v>
      </c>
      <c r="B44" s="50"/>
      <c r="C44" s="50"/>
      <c r="D44" s="50">
        <f t="shared" si="10"/>
        <v>0</v>
      </c>
      <c r="F44" s="50">
        <v>0</v>
      </c>
      <c r="G44" s="50">
        <v>0</v>
      </c>
      <c r="H44" s="50"/>
      <c r="I44" s="50">
        <f t="shared" si="11"/>
        <v>0</v>
      </c>
      <c r="K44" s="50">
        <v>0</v>
      </c>
      <c r="L44" s="50"/>
      <c r="M44" s="50"/>
      <c r="N44" s="50">
        <f t="shared" si="12"/>
        <v>0</v>
      </c>
      <c r="P44" s="50">
        <v>0</v>
      </c>
      <c r="Q44" s="50"/>
      <c r="R44" s="50"/>
      <c r="S44" s="50">
        <f t="shared" si="13"/>
        <v>0</v>
      </c>
      <c r="U44" s="50">
        <v>0</v>
      </c>
      <c r="V44" s="50"/>
      <c r="W44" s="50"/>
      <c r="X44" s="50">
        <f t="shared" si="14"/>
        <v>0</v>
      </c>
      <c r="Y44" s="50"/>
      <c r="AA44" s="50">
        <v>0</v>
      </c>
      <c r="AB44" s="50"/>
      <c r="AC44" s="50">
        <v>0</v>
      </c>
    </row>
    <row r="45" spans="1:31">
      <c r="A45" s="173" t="s">
        <v>98</v>
      </c>
      <c r="B45" s="40"/>
      <c r="C45" s="40"/>
      <c r="D45" s="40">
        <f t="shared" si="10"/>
        <v>0</v>
      </c>
      <c r="F45" s="40">
        <v>0</v>
      </c>
      <c r="G45" s="40">
        <v>0</v>
      </c>
      <c r="H45" s="40"/>
      <c r="I45" s="40">
        <f t="shared" si="11"/>
        <v>0</v>
      </c>
      <c r="K45" s="40">
        <v>0</v>
      </c>
      <c r="L45" s="40"/>
      <c r="M45" s="40"/>
      <c r="N45" s="40">
        <f t="shared" si="12"/>
        <v>0</v>
      </c>
      <c r="P45" s="40">
        <v>0</v>
      </c>
      <c r="Q45" s="40"/>
      <c r="R45" s="40"/>
      <c r="S45" s="40">
        <f t="shared" si="13"/>
        <v>0</v>
      </c>
      <c r="U45" s="40">
        <v>0</v>
      </c>
      <c r="V45" s="40"/>
      <c r="W45" s="40"/>
      <c r="X45" s="40">
        <f t="shared" si="14"/>
        <v>0</v>
      </c>
      <c r="Y45" s="40"/>
      <c r="AA45" s="40">
        <v>0</v>
      </c>
      <c r="AB45" s="40"/>
      <c r="AC45" s="40">
        <v>0</v>
      </c>
    </row>
    <row r="46" spans="1:31">
      <c r="A46" s="172" t="s">
        <v>475</v>
      </c>
      <c r="B46" s="50"/>
      <c r="C46" s="50"/>
      <c r="D46" s="50">
        <f t="shared" si="10"/>
        <v>0</v>
      </c>
      <c r="F46" s="50">
        <v>0</v>
      </c>
      <c r="G46" s="50">
        <v>0</v>
      </c>
      <c r="H46" s="50"/>
      <c r="I46" s="50">
        <f t="shared" si="11"/>
        <v>0</v>
      </c>
      <c r="K46" s="50">
        <v>0</v>
      </c>
      <c r="L46" s="50"/>
      <c r="M46" s="50"/>
      <c r="N46" s="50">
        <f t="shared" si="12"/>
        <v>0</v>
      </c>
      <c r="P46" s="50">
        <v>0</v>
      </c>
      <c r="Q46" s="50"/>
      <c r="R46" s="50"/>
      <c r="S46" s="50">
        <f t="shared" si="13"/>
        <v>0</v>
      </c>
      <c r="U46" s="50">
        <v>0</v>
      </c>
      <c r="V46" s="50"/>
      <c r="W46" s="50"/>
      <c r="X46" s="50">
        <f t="shared" si="14"/>
        <v>0</v>
      </c>
      <c r="Y46" s="50"/>
      <c r="AA46" s="50">
        <v>0</v>
      </c>
      <c r="AB46" s="50"/>
      <c r="AC46" s="50">
        <v>0</v>
      </c>
    </row>
    <row r="47" spans="1:31">
      <c r="A47" s="49" t="s">
        <v>85</v>
      </c>
      <c r="B47" s="50"/>
      <c r="C47" s="50"/>
      <c r="D47" s="50">
        <f t="shared" si="10"/>
        <v>0</v>
      </c>
      <c r="F47" s="50">
        <v>0</v>
      </c>
      <c r="G47" s="50">
        <v>0</v>
      </c>
      <c r="H47" s="50"/>
      <c r="I47" s="50">
        <f t="shared" si="11"/>
        <v>0</v>
      </c>
      <c r="K47" s="50">
        <v>0</v>
      </c>
      <c r="L47" s="50"/>
      <c r="M47" s="50"/>
      <c r="N47" s="50">
        <f t="shared" si="12"/>
        <v>0</v>
      </c>
      <c r="P47" s="50">
        <v>0</v>
      </c>
      <c r="Q47" s="50"/>
      <c r="R47" s="50"/>
      <c r="S47" s="50">
        <f t="shared" si="13"/>
        <v>0</v>
      </c>
      <c r="U47" s="50">
        <v>0</v>
      </c>
      <c r="V47" s="50"/>
      <c r="W47" s="50"/>
      <c r="X47" s="50">
        <f t="shared" si="14"/>
        <v>0</v>
      </c>
      <c r="Y47" s="50"/>
      <c r="AA47" s="50">
        <v>0</v>
      </c>
      <c r="AB47" s="50"/>
      <c r="AC47" s="50">
        <v>0</v>
      </c>
    </row>
    <row r="48" spans="1:31">
      <c r="A48" s="359" t="s">
        <v>99</v>
      </c>
      <c r="B48" s="222"/>
      <c r="C48" s="222"/>
      <c r="D48" s="222">
        <f t="shared" si="10"/>
        <v>0</v>
      </c>
      <c r="F48" s="222">
        <v>0</v>
      </c>
      <c r="G48" s="222">
        <v>0</v>
      </c>
      <c r="H48" s="222"/>
      <c r="I48" s="222">
        <f t="shared" si="11"/>
        <v>0</v>
      </c>
      <c r="K48" s="222">
        <v>0</v>
      </c>
      <c r="L48" s="222"/>
      <c r="M48" s="222"/>
      <c r="N48" s="222">
        <f t="shared" si="12"/>
        <v>0</v>
      </c>
      <c r="P48" s="222">
        <v>0</v>
      </c>
      <c r="Q48" s="222"/>
      <c r="R48" s="222"/>
      <c r="S48" s="222">
        <f t="shared" si="13"/>
        <v>0</v>
      </c>
      <c r="U48" s="222">
        <v>0</v>
      </c>
      <c r="V48" s="222"/>
      <c r="W48" s="222"/>
      <c r="X48" s="222">
        <f t="shared" si="14"/>
        <v>0</v>
      </c>
      <c r="Y48" s="222"/>
      <c r="AA48" s="222">
        <v>0</v>
      </c>
      <c r="AB48" s="222"/>
      <c r="AC48" s="222">
        <v>0</v>
      </c>
    </row>
    <row r="49" spans="1:29">
      <c r="A49" s="172" t="s">
        <v>100</v>
      </c>
      <c r="B49" s="44"/>
      <c r="C49" s="44"/>
      <c r="D49" s="44">
        <f t="shared" si="10"/>
        <v>0</v>
      </c>
      <c r="F49" s="44">
        <v>0</v>
      </c>
      <c r="G49" s="44">
        <v>0</v>
      </c>
      <c r="H49" s="44"/>
      <c r="I49" s="44">
        <f t="shared" si="11"/>
        <v>0</v>
      </c>
      <c r="K49" s="44">
        <v>0</v>
      </c>
      <c r="L49" s="44"/>
      <c r="M49" s="44"/>
      <c r="N49" s="44">
        <f t="shared" si="12"/>
        <v>0</v>
      </c>
      <c r="P49" s="44">
        <v>0</v>
      </c>
      <c r="Q49" s="44"/>
      <c r="R49" s="44"/>
      <c r="S49" s="44">
        <f t="shared" si="13"/>
        <v>0</v>
      </c>
      <c r="U49" s="44">
        <v>0</v>
      </c>
      <c r="V49" s="44"/>
      <c r="W49" s="44"/>
      <c r="X49" s="44">
        <f t="shared" si="14"/>
        <v>0</v>
      </c>
      <c r="Y49" s="44"/>
      <c r="AA49" s="44">
        <v>0</v>
      </c>
      <c r="AB49" s="44"/>
      <c r="AC49" s="44">
        <v>0</v>
      </c>
    </row>
    <row r="50" spans="1:29">
      <c r="A50" s="172" t="s">
        <v>101</v>
      </c>
      <c r="B50" s="50"/>
      <c r="C50" s="50"/>
      <c r="D50" s="50">
        <f t="shared" si="10"/>
        <v>0</v>
      </c>
      <c r="F50" s="50">
        <v>0</v>
      </c>
      <c r="G50" s="50">
        <v>0</v>
      </c>
      <c r="H50" s="50"/>
      <c r="I50" s="50">
        <f t="shared" si="11"/>
        <v>0</v>
      </c>
      <c r="K50" s="50">
        <v>0</v>
      </c>
      <c r="L50" s="50"/>
      <c r="M50" s="50"/>
      <c r="N50" s="50">
        <f t="shared" si="12"/>
        <v>0</v>
      </c>
      <c r="P50" s="50">
        <v>0</v>
      </c>
      <c r="Q50" s="50"/>
      <c r="R50" s="50"/>
      <c r="S50" s="50">
        <f t="shared" si="13"/>
        <v>0</v>
      </c>
      <c r="U50" s="50">
        <v>0</v>
      </c>
      <c r="V50" s="50"/>
      <c r="W50" s="50"/>
      <c r="X50" s="50">
        <f t="shared" si="14"/>
        <v>0</v>
      </c>
      <c r="Y50" s="50"/>
      <c r="AA50" s="50">
        <v>0</v>
      </c>
      <c r="AB50" s="50"/>
      <c r="AC50" s="50">
        <v>0</v>
      </c>
    </row>
    <row r="51" spans="1:29">
      <c r="A51" s="359" t="s">
        <v>102</v>
      </c>
      <c r="B51" s="222"/>
      <c r="C51" s="222"/>
      <c r="D51" s="222">
        <f t="shared" si="10"/>
        <v>0</v>
      </c>
      <c r="F51" s="222">
        <v>0</v>
      </c>
      <c r="G51" s="222">
        <v>0</v>
      </c>
      <c r="H51" s="222"/>
      <c r="I51" s="222">
        <f t="shared" si="11"/>
        <v>0</v>
      </c>
      <c r="K51" s="222">
        <v>0</v>
      </c>
      <c r="L51" s="222"/>
      <c r="M51" s="222"/>
      <c r="N51" s="222">
        <f t="shared" si="12"/>
        <v>0</v>
      </c>
      <c r="P51" s="222">
        <v>0</v>
      </c>
      <c r="Q51" s="222"/>
      <c r="R51" s="222"/>
      <c r="S51" s="222">
        <f t="shared" si="13"/>
        <v>0</v>
      </c>
      <c r="U51" s="222">
        <v>0</v>
      </c>
      <c r="V51" s="222"/>
      <c r="W51" s="222"/>
      <c r="X51" s="222">
        <f t="shared" si="14"/>
        <v>0</v>
      </c>
      <c r="Y51" s="222"/>
      <c r="AA51" s="222">
        <v>0</v>
      </c>
      <c r="AB51" s="222"/>
      <c r="AC51" s="222">
        <v>0</v>
      </c>
    </row>
    <row r="52" spans="1:29">
      <c r="A52" s="172" t="s">
        <v>103</v>
      </c>
      <c r="B52" s="44"/>
      <c r="C52" s="44"/>
      <c r="D52" s="44">
        <f t="shared" si="10"/>
        <v>0</v>
      </c>
      <c r="F52" s="44">
        <v>0</v>
      </c>
      <c r="G52" s="44">
        <v>0</v>
      </c>
      <c r="H52" s="44"/>
      <c r="I52" s="44">
        <f t="shared" si="11"/>
        <v>0</v>
      </c>
      <c r="K52" s="44">
        <v>0</v>
      </c>
      <c r="L52" s="44"/>
      <c r="M52" s="44"/>
      <c r="N52" s="44">
        <f t="shared" si="12"/>
        <v>0</v>
      </c>
      <c r="P52" s="44">
        <v>0</v>
      </c>
      <c r="Q52" s="44"/>
      <c r="R52" s="44"/>
      <c r="S52" s="44">
        <f t="shared" si="13"/>
        <v>0</v>
      </c>
      <c r="U52" s="44">
        <v>0</v>
      </c>
      <c r="V52" s="44"/>
      <c r="W52" s="44"/>
      <c r="X52" s="44">
        <f t="shared" si="14"/>
        <v>0</v>
      </c>
      <c r="Y52" s="44"/>
      <c r="AA52" s="44">
        <v>0</v>
      </c>
      <c r="AB52" s="44"/>
      <c r="AC52" s="44">
        <v>0</v>
      </c>
    </row>
    <row r="53" spans="1:29">
      <c r="A53" s="172" t="s">
        <v>450</v>
      </c>
      <c r="B53" s="44"/>
      <c r="C53" s="44"/>
      <c r="D53" s="44">
        <f t="shared" si="10"/>
        <v>0</v>
      </c>
      <c r="F53" s="44">
        <v>0</v>
      </c>
      <c r="G53" s="44">
        <v>0</v>
      </c>
      <c r="H53" s="44"/>
      <c r="I53" s="44">
        <f t="shared" si="11"/>
        <v>0</v>
      </c>
      <c r="K53" s="44">
        <v>0</v>
      </c>
      <c r="L53" s="44"/>
      <c r="M53" s="44"/>
      <c r="N53" s="44">
        <f t="shared" si="12"/>
        <v>0</v>
      </c>
      <c r="P53" s="44">
        <v>0</v>
      </c>
      <c r="Q53" s="44"/>
      <c r="R53" s="44"/>
      <c r="S53" s="44">
        <f t="shared" si="13"/>
        <v>0</v>
      </c>
      <c r="U53" s="44">
        <v>0</v>
      </c>
      <c r="V53" s="44"/>
      <c r="W53" s="44"/>
      <c r="X53" s="44">
        <f t="shared" si="14"/>
        <v>0</v>
      </c>
      <c r="Y53" s="44"/>
      <c r="AA53" s="44">
        <v>0</v>
      </c>
      <c r="AB53" s="44"/>
      <c r="AC53" s="44">
        <v>0</v>
      </c>
    </row>
    <row r="54" spans="1:29">
      <c r="A54" s="377" t="s">
        <v>476</v>
      </c>
      <c r="B54" s="221"/>
      <c r="C54" s="221"/>
      <c r="D54" s="221">
        <f t="shared" si="10"/>
        <v>0</v>
      </c>
      <c r="F54" s="221">
        <v>0</v>
      </c>
      <c r="G54" s="221">
        <v>0</v>
      </c>
      <c r="H54" s="221"/>
      <c r="I54" s="221">
        <f t="shared" si="11"/>
        <v>0</v>
      </c>
      <c r="K54" s="221">
        <v>0</v>
      </c>
      <c r="L54" s="221"/>
      <c r="M54" s="221"/>
      <c r="N54" s="221">
        <f t="shared" si="12"/>
        <v>0</v>
      </c>
      <c r="P54" s="221">
        <v>0</v>
      </c>
      <c r="Q54" s="221"/>
      <c r="R54" s="221"/>
      <c r="S54" s="221">
        <f t="shared" si="13"/>
        <v>0</v>
      </c>
      <c r="U54" s="221">
        <v>0</v>
      </c>
      <c r="V54" s="221"/>
      <c r="W54" s="221"/>
      <c r="X54" s="221">
        <f t="shared" si="14"/>
        <v>0</v>
      </c>
      <c r="Y54" s="221"/>
      <c r="AA54" s="221">
        <v>0</v>
      </c>
      <c r="AB54" s="221"/>
      <c r="AC54" s="221">
        <v>0</v>
      </c>
    </row>
    <row r="55" spans="1:29">
      <c r="A55" s="172" t="s">
        <v>104</v>
      </c>
      <c r="B55" s="50"/>
      <c r="C55" s="50"/>
      <c r="D55" s="50">
        <f t="shared" si="10"/>
        <v>0</v>
      </c>
      <c r="F55" s="50">
        <v>0</v>
      </c>
      <c r="G55" s="50">
        <v>0</v>
      </c>
      <c r="H55" s="50"/>
      <c r="I55" s="50">
        <f t="shared" si="11"/>
        <v>0</v>
      </c>
      <c r="K55" s="50">
        <v>0</v>
      </c>
      <c r="L55" s="50"/>
      <c r="M55" s="50"/>
      <c r="N55" s="50">
        <f t="shared" si="12"/>
        <v>0</v>
      </c>
      <c r="P55" s="50">
        <v>0</v>
      </c>
      <c r="Q55" s="50"/>
      <c r="R55" s="50"/>
      <c r="S55" s="50">
        <f t="shared" si="13"/>
        <v>0</v>
      </c>
      <c r="U55" s="50">
        <v>0</v>
      </c>
      <c r="V55" s="50"/>
      <c r="W55" s="50"/>
      <c r="X55" s="50">
        <f t="shared" si="14"/>
        <v>0</v>
      </c>
      <c r="Y55" s="50"/>
      <c r="AA55" s="50">
        <v>0</v>
      </c>
      <c r="AB55" s="50"/>
      <c r="AC55" s="50">
        <v>0</v>
      </c>
    </row>
    <row r="56" spans="1:29">
      <c r="A56" s="366" t="s">
        <v>105</v>
      </c>
      <c r="B56" s="367">
        <v>0</v>
      </c>
      <c r="C56" s="367">
        <v>0</v>
      </c>
      <c r="D56" s="367">
        <f>SUM(D38:D55)</f>
        <v>0</v>
      </c>
      <c r="F56" s="367">
        <v>0</v>
      </c>
      <c r="G56" s="367">
        <v>0</v>
      </c>
      <c r="H56" s="367"/>
      <c r="I56" s="367">
        <f>SUM(I38:I55)</f>
        <v>0</v>
      </c>
      <c r="K56" s="367">
        <v>0</v>
      </c>
      <c r="L56" s="367">
        <v>0</v>
      </c>
      <c r="M56" s="367"/>
      <c r="N56" s="367">
        <f>SUM(N38:N55)</f>
        <v>0</v>
      </c>
      <c r="P56" s="367">
        <v>0</v>
      </c>
      <c r="Q56" s="367">
        <v>0</v>
      </c>
      <c r="R56" s="367"/>
      <c r="S56" s="367">
        <f>SUM(S38:S55)</f>
        <v>0</v>
      </c>
      <c r="U56" s="367">
        <v>0</v>
      </c>
      <c r="V56" s="367">
        <v>0</v>
      </c>
      <c r="W56" s="367"/>
      <c r="X56" s="367">
        <f>SUM(X38:X55)</f>
        <v>0</v>
      </c>
      <c r="Y56" s="1024"/>
      <c r="AA56" s="367">
        <v>0</v>
      </c>
      <c r="AB56" s="1024"/>
      <c r="AC56" s="367">
        <v>0</v>
      </c>
    </row>
    <row r="57" spans="1:29" ht="16.5" thickBot="1">
      <c r="A57" s="368" t="s">
        <v>106</v>
      </c>
      <c r="B57" s="369">
        <v>0</v>
      </c>
      <c r="C57" s="369">
        <v>0</v>
      </c>
      <c r="D57" s="369">
        <f>D56+D34+D8</f>
        <v>0</v>
      </c>
      <c r="F57" s="369">
        <v>0</v>
      </c>
      <c r="G57" s="369">
        <v>0</v>
      </c>
      <c r="H57" s="369"/>
      <c r="I57" s="369">
        <f>I56+I34+I8</f>
        <v>84314</v>
      </c>
      <c r="K57" s="369">
        <v>0</v>
      </c>
      <c r="L57" s="369">
        <v>0</v>
      </c>
      <c r="M57" s="369"/>
      <c r="N57" s="369">
        <f>N56+N34+N8</f>
        <v>548591.3989527151</v>
      </c>
      <c r="P57" s="369">
        <v>0</v>
      </c>
      <c r="Q57" s="369">
        <v>0</v>
      </c>
      <c r="R57" s="369"/>
      <c r="S57" s="369">
        <f>S56+S34+S8</f>
        <v>461819.44338554889</v>
      </c>
      <c r="U57" s="369">
        <v>0</v>
      </c>
      <c r="V57" s="369">
        <v>0</v>
      </c>
      <c r="W57" s="369"/>
      <c r="X57" s="369">
        <f>X56+X34+X8</f>
        <v>-517201.16572173685</v>
      </c>
      <c r="Y57" s="781"/>
      <c r="AA57" s="369">
        <v>0</v>
      </c>
      <c r="AB57" s="781"/>
      <c r="AC57" s="369">
        <v>0</v>
      </c>
    </row>
    <row r="58" spans="1:29" ht="16.5" thickTop="1"/>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83"/>
  <sheetViews>
    <sheetView workbookViewId="0">
      <selection activeCell="U42" sqref="U42"/>
    </sheetView>
  </sheetViews>
  <sheetFormatPr defaultColWidth="11" defaultRowHeight="15.75"/>
  <cols>
    <col min="1" max="1" width="36.875" customWidth="1"/>
    <col min="2" max="2" width="14.125" customWidth="1"/>
    <col min="3" max="3" width="15.5" customWidth="1"/>
    <col min="4" max="4" width="14.375" customWidth="1"/>
    <col min="5" max="5" width="13.875" customWidth="1"/>
    <col min="6" max="6" width="12.5" customWidth="1"/>
    <col min="7" max="7" width="12.625" customWidth="1"/>
    <col min="8" max="8" width="13.625" bestFit="1" customWidth="1"/>
    <col min="9" max="9" width="5.875" customWidth="1"/>
    <col min="10" max="10" width="33.375" customWidth="1"/>
    <col min="11" max="12" width="13.625" customWidth="1"/>
    <col min="13" max="13" width="12.5" customWidth="1"/>
    <col min="15" max="15" width="13.625" customWidth="1"/>
  </cols>
  <sheetData>
    <row r="1" spans="1:16">
      <c r="A1" s="1671" t="s">
        <v>1628</v>
      </c>
      <c r="J1" s="10" t="s">
        <v>1629</v>
      </c>
      <c r="K1" t="s">
        <v>1630</v>
      </c>
      <c r="M1" t="s">
        <v>1631</v>
      </c>
    </row>
    <row r="2" spans="1:16">
      <c r="J2" t="s">
        <v>819</v>
      </c>
    </row>
    <row r="3" spans="1:16">
      <c r="C3" s="983"/>
    </row>
    <row r="4" spans="1:16" ht="51">
      <c r="A4" s="1008" t="s">
        <v>68</v>
      </c>
      <c r="B4" s="1009" t="s">
        <v>853</v>
      </c>
      <c r="C4" s="1009" t="s">
        <v>854</v>
      </c>
      <c r="D4" s="1009" t="s">
        <v>855</v>
      </c>
      <c r="E4" s="1009" t="s">
        <v>1627</v>
      </c>
      <c r="F4" s="1009" t="s">
        <v>856</v>
      </c>
      <c r="G4" s="1009" t="s">
        <v>961</v>
      </c>
      <c r="J4" s="1008" t="s">
        <v>68</v>
      </c>
      <c r="K4" s="1009" t="s">
        <v>853</v>
      </c>
      <c r="L4" s="1009" t="s">
        <v>854</v>
      </c>
      <c r="M4" s="1009" t="s">
        <v>855</v>
      </c>
      <c r="N4" s="1009" t="s">
        <v>1626</v>
      </c>
      <c r="O4" s="1009" t="s">
        <v>856</v>
      </c>
      <c r="P4" s="1009"/>
    </row>
    <row r="5" spans="1:16">
      <c r="A5" s="144" t="s">
        <v>70</v>
      </c>
      <c r="B5" s="387"/>
      <c r="C5" s="387"/>
      <c r="D5" s="387"/>
      <c r="E5" s="387"/>
      <c r="F5" s="387"/>
      <c r="G5" s="387">
        <f>0.03*F51</f>
        <v>678198.06704424007</v>
      </c>
      <c r="J5" s="144" t="s">
        <v>70</v>
      </c>
      <c r="K5" s="387"/>
      <c r="L5" s="387"/>
      <c r="M5" s="387"/>
      <c r="N5" s="387"/>
      <c r="O5" s="387"/>
      <c r="P5" s="387"/>
    </row>
    <row r="6" spans="1:16">
      <c r="A6" s="161"/>
      <c r="B6" s="213"/>
      <c r="C6" s="213"/>
      <c r="D6" s="213"/>
      <c r="E6" s="213"/>
      <c r="F6" s="213"/>
      <c r="G6" s="213"/>
      <c r="J6" s="161"/>
      <c r="K6" s="213"/>
      <c r="L6" s="213"/>
      <c r="M6" s="213"/>
      <c r="N6" s="213"/>
      <c r="O6" s="213"/>
      <c r="P6" s="213"/>
    </row>
    <row r="7" spans="1:16">
      <c r="A7" s="1010" t="s">
        <v>71</v>
      </c>
      <c r="B7" s="213"/>
      <c r="C7" s="213"/>
      <c r="D7" s="213"/>
      <c r="E7" s="213"/>
      <c r="F7" s="213"/>
      <c r="G7" s="213"/>
      <c r="J7" s="1010" t="s">
        <v>71</v>
      </c>
      <c r="K7" s="213"/>
      <c r="L7" s="213"/>
      <c r="M7" s="213"/>
      <c r="N7" s="213"/>
      <c r="O7" s="213"/>
      <c r="P7" s="213"/>
    </row>
    <row r="8" spans="1:16" ht="15.95" customHeight="1">
      <c r="A8" s="1010" t="s">
        <v>71</v>
      </c>
      <c r="B8" s="213"/>
      <c r="C8" s="213"/>
      <c r="D8" s="213"/>
      <c r="E8" s="213"/>
      <c r="F8" s="213"/>
      <c r="G8" s="213"/>
      <c r="H8" s="1007"/>
      <c r="J8" s="1010" t="s">
        <v>71</v>
      </c>
      <c r="K8" s="213"/>
      <c r="L8" s="213"/>
      <c r="M8" s="213"/>
      <c r="N8" s="213"/>
      <c r="O8" s="213"/>
      <c r="P8" s="213"/>
    </row>
    <row r="9" spans="1:16">
      <c r="A9" s="173" t="s">
        <v>72</v>
      </c>
      <c r="B9" s="964"/>
      <c r="C9" s="964"/>
      <c r="D9" s="964"/>
      <c r="E9" s="964"/>
      <c r="F9" s="964"/>
      <c r="G9" s="964"/>
      <c r="H9" s="1007"/>
      <c r="J9" s="173" t="s">
        <v>72</v>
      </c>
      <c r="K9" s="964"/>
      <c r="L9" s="964"/>
      <c r="M9" s="964"/>
      <c r="N9" s="964"/>
      <c r="O9" s="964"/>
      <c r="P9" s="964"/>
    </row>
    <row r="10" spans="1:16">
      <c r="A10" s="172" t="s">
        <v>73</v>
      </c>
      <c r="B10" s="388">
        <f>'Differential Tuition History'!F7</f>
        <v>2145969</v>
      </c>
      <c r="C10" s="388">
        <f>'Differential Tuition History'!F24</f>
        <v>706544.47499999998</v>
      </c>
      <c r="D10" s="388">
        <f>-0.1*B10-0.04*C10</f>
        <v>-242858.67900000003</v>
      </c>
      <c r="E10" s="388">
        <v>0</v>
      </c>
      <c r="F10" s="388">
        <f>SUM(B10:E10)</f>
        <v>2609654.7960000001</v>
      </c>
      <c r="G10" s="51">
        <f>0.97*F10</f>
        <v>2531365.1521200002</v>
      </c>
      <c r="H10" s="1026"/>
      <c r="J10" s="172" t="s">
        <v>73</v>
      </c>
      <c r="K10" s="388"/>
      <c r="L10" s="388"/>
      <c r="M10" s="388"/>
      <c r="N10" s="388"/>
      <c r="O10" s="388"/>
      <c r="P10" s="51"/>
    </row>
    <row r="11" spans="1:16">
      <c r="A11" s="172" t="s">
        <v>74</v>
      </c>
      <c r="B11" s="388">
        <f>'Differential Tuition History'!F8</f>
        <v>8915100.333333334</v>
      </c>
      <c r="C11" s="388">
        <f>'Differential Tuition History'!F25</f>
        <v>1932021.6666666667</v>
      </c>
      <c r="D11" s="388">
        <f>-0.1*B11-0.04*C11</f>
        <v>-968790.90000000014</v>
      </c>
      <c r="E11" s="388">
        <v>0</v>
      </c>
      <c r="F11" s="388">
        <f>SUM(B11:E11)</f>
        <v>9878331.0999999996</v>
      </c>
      <c r="G11" s="51">
        <f t="shared" ref="G11:G21" si="0">0.97*F11</f>
        <v>9581981.1669999994</v>
      </c>
      <c r="H11" s="1026"/>
      <c r="J11" s="172" t="s">
        <v>74</v>
      </c>
      <c r="K11" s="388"/>
      <c r="L11" s="388"/>
      <c r="M11" s="388"/>
      <c r="N11" s="388"/>
      <c r="O11" s="388"/>
      <c r="P11" s="51"/>
    </row>
    <row r="12" spans="1:16">
      <c r="A12" s="173" t="s">
        <v>75</v>
      </c>
      <c r="B12" s="387">
        <f>'Differential Tuition History'!F9</f>
        <v>126360</v>
      </c>
      <c r="C12" s="387">
        <f>'Differential Tuition History'!E26</f>
        <v>0</v>
      </c>
      <c r="D12" s="387">
        <f>-0.1*B12-0.04*C12</f>
        <v>-12636</v>
      </c>
      <c r="E12" s="387">
        <v>0</v>
      </c>
      <c r="F12" s="387">
        <f>SUM(B12:E12)</f>
        <v>113724</v>
      </c>
      <c r="G12" s="969">
        <f t="shared" si="0"/>
        <v>110312.28</v>
      </c>
      <c r="H12" s="1025"/>
      <c r="J12" s="173" t="s">
        <v>75</v>
      </c>
      <c r="K12" s="387"/>
      <c r="L12" s="387"/>
      <c r="M12" s="387"/>
      <c r="N12" s="387"/>
      <c r="O12" s="387"/>
      <c r="P12" s="969"/>
    </row>
    <row r="13" spans="1:16">
      <c r="A13" s="172" t="s">
        <v>76</v>
      </c>
      <c r="B13" s="388">
        <f>'Differential Tuition History'!E10</f>
        <v>0</v>
      </c>
      <c r="C13" s="388">
        <f>'Differential Tuition History'!F27</f>
        <v>262657</v>
      </c>
      <c r="D13" s="388">
        <f>-0.1*B13-0.04*C13</f>
        <v>-10506.28</v>
      </c>
      <c r="E13" s="388">
        <v>0</v>
      </c>
      <c r="F13" s="388">
        <f>SUM(B13:E13)</f>
        <v>252150.72</v>
      </c>
      <c r="G13" s="51">
        <f t="shared" si="0"/>
        <v>244586.19839999999</v>
      </c>
      <c r="H13" s="1007"/>
      <c r="J13" s="172" t="s">
        <v>76</v>
      </c>
      <c r="K13" s="388"/>
      <c r="L13" s="388"/>
      <c r="M13" s="388"/>
      <c r="N13" s="388"/>
      <c r="O13" s="388"/>
      <c r="P13" s="51"/>
    </row>
    <row r="14" spans="1:16">
      <c r="A14" s="172" t="s">
        <v>77</v>
      </c>
      <c r="B14" s="213">
        <f>'Differential Tuition History'!E11</f>
        <v>0</v>
      </c>
      <c r="C14" s="213">
        <f>'Differential Tuition History'!E28</f>
        <v>0</v>
      </c>
      <c r="D14" s="213"/>
      <c r="E14" s="213"/>
      <c r="F14" s="213"/>
      <c r="G14" s="188">
        <f t="shared" si="0"/>
        <v>0</v>
      </c>
      <c r="H14" s="1007"/>
      <c r="J14" s="172" t="s">
        <v>77</v>
      </c>
      <c r="K14" s="213"/>
      <c r="L14" s="213"/>
      <c r="M14" s="213"/>
      <c r="N14" s="213"/>
      <c r="O14" s="213"/>
      <c r="P14" s="188"/>
    </row>
    <row r="15" spans="1:16">
      <c r="A15" s="173" t="s">
        <v>78</v>
      </c>
      <c r="B15" s="387">
        <f>'Differential Tuition History'!E12</f>
        <v>0</v>
      </c>
      <c r="C15" s="387">
        <f>'Differential Tuition History'!E29</f>
        <v>0</v>
      </c>
      <c r="D15" s="387"/>
      <c r="E15" s="387"/>
      <c r="F15" s="387"/>
      <c r="G15" s="969">
        <f t="shared" si="0"/>
        <v>0</v>
      </c>
      <c r="H15" s="1007"/>
      <c r="J15" s="173" t="s">
        <v>78</v>
      </c>
      <c r="K15" s="387"/>
      <c r="L15" s="387"/>
      <c r="M15" s="387"/>
      <c r="N15" s="387"/>
      <c r="O15" s="387"/>
      <c r="P15" s="969"/>
    </row>
    <row r="16" spans="1:16">
      <c r="A16" s="172" t="s">
        <v>79</v>
      </c>
      <c r="B16" s="380">
        <f>'Differential Tuition History'!F13</f>
        <v>0</v>
      </c>
      <c r="C16" s="380">
        <f>'Differential Tuition History'!E30</f>
        <v>0</v>
      </c>
      <c r="D16" s="380"/>
      <c r="E16" s="380"/>
      <c r="F16" s="380"/>
      <c r="G16" s="188">
        <f t="shared" si="0"/>
        <v>0</v>
      </c>
      <c r="H16" s="1007"/>
      <c r="J16" s="172" t="s">
        <v>79</v>
      </c>
      <c r="K16" s="380"/>
      <c r="L16" s="380"/>
      <c r="M16" s="380"/>
      <c r="N16" s="380"/>
      <c r="O16" s="380"/>
      <c r="P16" s="188"/>
    </row>
    <row r="17" spans="1:16">
      <c r="A17" s="172" t="s">
        <v>80</v>
      </c>
      <c r="B17" s="213">
        <f>'Differential Tuition History'!E14</f>
        <v>0</v>
      </c>
      <c r="C17" s="213">
        <f>'Differential Tuition History'!F31</f>
        <v>4446449.7429250004</v>
      </c>
      <c r="D17" s="213">
        <f>-0.1*B17-0.04*C17</f>
        <v>-177857.98971700002</v>
      </c>
      <c r="E17" s="213">
        <v>0</v>
      </c>
      <c r="F17" s="213">
        <f>SUM(B17:E17)</f>
        <v>4268591.7532080002</v>
      </c>
      <c r="G17" s="188">
        <f t="shared" si="0"/>
        <v>4140534.0006117602</v>
      </c>
      <c r="H17" s="1007"/>
      <c r="J17" s="172" t="s">
        <v>80</v>
      </c>
      <c r="K17" s="213"/>
      <c r="L17" s="213"/>
      <c r="M17" s="213"/>
      <c r="N17" s="213"/>
      <c r="O17" s="213"/>
      <c r="P17" s="188"/>
    </row>
    <row r="18" spans="1:16">
      <c r="A18" s="173" t="s">
        <v>81</v>
      </c>
      <c r="B18" s="387">
        <f>'Differential Tuition History'!E15</f>
        <v>0</v>
      </c>
      <c r="C18" s="387">
        <f>'Differential Tuition History'!E32</f>
        <v>0</v>
      </c>
      <c r="D18" s="387"/>
      <c r="E18" s="387"/>
      <c r="F18" s="387"/>
      <c r="G18" s="969">
        <f t="shared" si="0"/>
        <v>0</v>
      </c>
      <c r="H18" s="1007"/>
      <c r="J18" s="173" t="s">
        <v>81</v>
      </c>
      <c r="K18" s="387"/>
      <c r="L18" s="387"/>
      <c r="M18" s="387"/>
      <c r="N18" s="387"/>
      <c r="O18" s="387"/>
      <c r="P18" s="969"/>
    </row>
    <row r="19" spans="1:16">
      <c r="A19" s="172" t="s">
        <v>82</v>
      </c>
      <c r="B19" s="213">
        <f>'Differential Tuition History'!E16</f>
        <v>0</v>
      </c>
      <c r="C19" s="213">
        <f>'Differential Tuition History'!F33</f>
        <v>3876037.3600000003</v>
      </c>
      <c r="D19" s="213">
        <f>-0.1*B19-0.04*C19</f>
        <v>-155041.49440000003</v>
      </c>
      <c r="E19" s="213">
        <v>0</v>
      </c>
      <c r="F19" s="213">
        <f>SUM(B19:E19)</f>
        <v>3720995.8656000001</v>
      </c>
      <c r="G19" s="188">
        <f t="shared" si="0"/>
        <v>3609365.9896320002</v>
      </c>
      <c r="J19" s="172" t="s">
        <v>82</v>
      </c>
      <c r="K19" s="213"/>
      <c r="L19" s="213"/>
      <c r="M19" s="213"/>
      <c r="N19" s="213"/>
      <c r="O19" s="213"/>
      <c r="P19" s="188"/>
    </row>
    <row r="20" spans="1:16">
      <c r="A20" s="172" t="s">
        <v>83</v>
      </c>
      <c r="B20" s="213">
        <f>'Differential Tuition History'!E17</f>
        <v>0</v>
      </c>
      <c r="C20" s="213">
        <f>'Differential Tuition History'!E34</f>
        <v>0</v>
      </c>
      <c r="D20" s="213"/>
      <c r="E20" s="213"/>
      <c r="F20" s="213"/>
      <c r="G20" s="188">
        <f t="shared" si="0"/>
        <v>0</v>
      </c>
      <c r="J20" s="172" t="s">
        <v>83</v>
      </c>
      <c r="K20" s="213"/>
      <c r="L20" s="213"/>
      <c r="M20" s="213"/>
      <c r="N20" s="213"/>
      <c r="O20" s="213"/>
      <c r="P20" s="188"/>
    </row>
    <row r="21" spans="1:16">
      <c r="A21" s="173" t="s">
        <v>84</v>
      </c>
      <c r="B21" s="387">
        <f>'Differential Tuition History'!F18</f>
        <v>1959060</v>
      </c>
      <c r="C21" s="387">
        <f>'Differential Tuition History'!E35</f>
        <v>0</v>
      </c>
      <c r="D21" s="387">
        <f>-0.1*B21-0.04*C21</f>
        <v>-195906</v>
      </c>
      <c r="E21" s="387">
        <v>0</v>
      </c>
      <c r="F21" s="387">
        <f>SUM(B21:E21)</f>
        <v>1763154</v>
      </c>
      <c r="G21" s="387">
        <f t="shared" si="0"/>
        <v>1710259.38</v>
      </c>
      <c r="J21" s="173" t="s">
        <v>84</v>
      </c>
      <c r="K21" s="387"/>
      <c r="L21" s="387"/>
      <c r="M21" s="387"/>
      <c r="N21" s="387"/>
      <c r="O21" s="387"/>
      <c r="P21" s="387"/>
    </row>
    <row r="22" spans="1:16">
      <c r="A22" s="172" t="s">
        <v>86</v>
      </c>
      <c r="B22" s="213">
        <f>'Differential Tuition History'!E19</f>
        <v>0</v>
      </c>
      <c r="C22" s="213"/>
      <c r="D22" s="213"/>
      <c r="E22" s="213"/>
      <c r="F22" s="213"/>
      <c r="G22" s="213"/>
      <c r="J22" s="172" t="s">
        <v>86</v>
      </c>
      <c r="K22" s="213"/>
      <c r="L22" s="213"/>
      <c r="M22" s="213"/>
      <c r="N22" s="213"/>
      <c r="O22" s="213"/>
      <c r="P22" s="213"/>
    </row>
    <row r="23" spans="1:16">
      <c r="A23" s="172" t="s">
        <v>87</v>
      </c>
      <c r="B23" s="213"/>
      <c r="C23" s="213"/>
      <c r="D23" s="213"/>
      <c r="E23" s="213"/>
      <c r="F23" s="213"/>
      <c r="G23" s="213"/>
      <c r="J23" s="172" t="s">
        <v>87</v>
      </c>
      <c r="K23" s="213"/>
      <c r="L23" s="213"/>
      <c r="M23" s="213"/>
      <c r="N23" s="213"/>
      <c r="O23" s="213"/>
      <c r="P23" s="213"/>
    </row>
    <row r="24" spans="1:16">
      <c r="A24" s="359" t="s">
        <v>452</v>
      </c>
      <c r="B24" s="387">
        <f>'Differential Tuition History'!E21</f>
        <v>0</v>
      </c>
      <c r="C24" s="387"/>
      <c r="D24" s="387"/>
      <c r="E24" s="387"/>
      <c r="F24" s="387"/>
      <c r="G24" s="387"/>
      <c r="J24" s="359" t="s">
        <v>452</v>
      </c>
      <c r="K24" s="387"/>
      <c r="L24" s="387"/>
      <c r="M24" s="387"/>
      <c r="N24" s="387"/>
      <c r="O24" s="387"/>
      <c r="P24" s="387"/>
    </row>
    <row r="25" spans="1:16">
      <c r="A25" s="358" t="s">
        <v>453</v>
      </c>
      <c r="B25" s="213">
        <f>'Differential Tuition History'!E22</f>
        <v>0</v>
      </c>
      <c r="C25" s="213"/>
      <c r="D25" s="213"/>
      <c r="E25" s="213"/>
      <c r="F25" s="213"/>
      <c r="G25" s="213"/>
      <c r="J25" s="358" t="s">
        <v>453</v>
      </c>
      <c r="K25" s="213"/>
      <c r="L25" s="213"/>
      <c r="M25" s="213"/>
      <c r="N25" s="213"/>
      <c r="O25" s="213"/>
      <c r="P25" s="213"/>
    </row>
    <row r="26" spans="1:16">
      <c r="A26" s="172" t="s">
        <v>88</v>
      </c>
      <c r="B26" s="213">
        <f>'Differential Tuition History'!E23</f>
        <v>0</v>
      </c>
      <c r="C26" s="213"/>
      <c r="D26" s="213"/>
      <c r="E26" s="213"/>
      <c r="F26" s="213"/>
      <c r="G26" s="213"/>
      <c r="J26" s="172" t="s">
        <v>88</v>
      </c>
      <c r="K26" s="213"/>
      <c r="L26" s="213"/>
      <c r="M26" s="213"/>
      <c r="N26" s="213"/>
      <c r="O26" s="213"/>
      <c r="P26" s="213"/>
    </row>
    <row r="27" spans="1:16">
      <c r="A27" s="359" t="s">
        <v>89</v>
      </c>
      <c r="B27" s="387"/>
      <c r="C27" s="387"/>
      <c r="D27" s="387"/>
      <c r="E27" s="387"/>
      <c r="F27" s="387"/>
      <c r="G27" s="387"/>
      <c r="J27" s="359" t="s">
        <v>89</v>
      </c>
      <c r="K27" s="387"/>
      <c r="L27" s="387"/>
      <c r="M27" s="387"/>
      <c r="N27" s="387"/>
      <c r="O27" s="387"/>
      <c r="P27" s="387"/>
    </row>
    <row r="28" spans="1:16">
      <c r="A28" s="366" t="s">
        <v>90</v>
      </c>
      <c r="B28" s="389">
        <f>SUM(B9:B27)</f>
        <v>13146489.333333334</v>
      </c>
      <c r="C28" s="389">
        <f>SUM(C9:C27)</f>
        <v>11223710.244591668</v>
      </c>
      <c r="D28" s="389">
        <f>SUM(D9:D27)</f>
        <v>-1763597.3431170001</v>
      </c>
      <c r="E28" s="389">
        <f>SUM(E9:E27)</f>
        <v>0</v>
      </c>
      <c r="F28" s="389">
        <f>SUM(F9:F27)</f>
        <v>22606602.234808002</v>
      </c>
      <c r="G28" s="389">
        <f>SUM(G5:G27)</f>
        <v>22606602.234807998</v>
      </c>
      <c r="J28" s="366" t="s">
        <v>90</v>
      </c>
      <c r="K28" s="389">
        <f>SUM(K9:K27)</f>
        <v>0</v>
      </c>
      <c r="L28" s="389">
        <f>SUM(L9:L27)</f>
        <v>0</v>
      </c>
      <c r="M28" s="389">
        <f>SUM(M9:M27)</f>
        <v>0</v>
      </c>
      <c r="N28" s="389">
        <f>SUM(N9:N27)</f>
        <v>0</v>
      </c>
      <c r="O28" s="389">
        <f>SUM(O9:O27)</f>
        <v>0</v>
      </c>
      <c r="P28" s="389"/>
    </row>
    <row r="29" spans="1:16">
      <c r="A29" s="172"/>
      <c r="B29" s="213"/>
      <c r="C29" s="213"/>
      <c r="D29" s="213"/>
      <c r="E29" s="213"/>
      <c r="F29" s="213"/>
      <c r="G29" s="213"/>
      <c r="J29" s="172"/>
      <c r="K29" s="213"/>
      <c r="L29" s="213"/>
      <c r="M29" s="213"/>
      <c r="N29" s="213"/>
      <c r="O29" s="213"/>
      <c r="P29" s="213"/>
    </row>
    <row r="30" spans="1:16">
      <c r="A30" s="162"/>
      <c r="B30" s="213"/>
      <c r="C30" s="213"/>
      <c r="D30" s="213"/>
      <c r="E30" s="213"/>
      <c r="F30" s="213"/>
      <c r="G30" s="213"/>
      <c r="J30" s="162"/>
      <c r="K30" s="213"/>
      <c r="L30" s="213"/>
      <c r="M30" s="213"/>
      <c r="N30" s="213"/>
      <c r="O30" s="213"/>
      <c r="P30" s="213"/>
    </row>
    <row r="31" spans="1:16">
      <c r="A31" s="172" t="s">
        <v>91</v>
      </c>
      <c r="B31" s="213"/>
      <c r="C31" s="213"/>
      <c r="D31" s="213"/>
      <c r="E31" s="213"/>
      <c r="F31" s="213"/>
      <c r="G31" s="213"/>
      <c r="J31" s="172" t="s">
        <v>91</v>
      </c>
      <c r="K31" s="213"/>
      <c r="L31" s="213"/>
      <c r="M31" s="213"/>
      <c r="N31" s="213"/>
      <c r="O31" s="213"/>
      <c r="P31" s="213"/>
    </row>
    <row r="32" spans="1:16">
      <c r="A32" s="173" t="s">
        <v>92</v>
      </c>
      <c r="B32" s="173"/>
      <c r="C32" s="173"/>
      <c r="D32" s="173"/>
      <c r="E32" s="173"/>
      <c r="F32" s="173"/>
      <c r="G32" s="173"/>
      <c r="J32" s="173" t="s">
        <v>92</v>
      </c>
      <c r="K32" s="173"/>
      <c r="L32" s="173"/>
      <c r="M32" s="173"/>
      <c r="N32" s="173"/>
      <c r="O32" s="173"/>
      <c r="P32" s="173"/>
    </row>
    <row r="33" spans="1:16">
      <c r="A33" s="172" t="s">
        <v>93</v>
      </c>
      <c r="B33" s="172"/>
      <c r="C33" s="172"/>
      <c r="D33" s="172"/>
      <c r="E33" s="172"/>
      <c r="F33" s="172"/>
      <c r="G33" s="172"/>
      <c r="J33" s="172" t="s">
        <v>93</v>
      </c>
      <c r="K33" s="172"/>
      <c r="L33" s="172"/>
      <c r="M33" s="172"/>
      <c r="N33" s="172"/>
      <c r="O33" s="172"/>
      <c r="P33" s="172"/>
    </row>
    <row r="34" spans="1:16">
      <c r="A34" s="172" t="s">
        <v>94</v>
      </c>
      <c r="B34" s="172"/>
      <c r="C34" s="172"/>
      <c r="D34" s="172"/>
      <c r="E34" s="172"/>
      <c r="F34" s="172"/>
      <c r="G34" s="172"/>
      <c r="J34" s="172" t="s">
        <v>94</v>
      </c>
      <c r="K34" s="172"/>
      <c r="L34" s="172"/>
      <c r="M34" s="172"/>
      <c r="N34" s="172"/>
      <c r="O34" s="172"/>
      <c r="P34" s="172"/>
    </row>
    <row r="35" spans="1:16">
      <c r="A35" s="173" t="s">
        <v>95</v>
      </c>
      <c r="B35" s="173"/>
      <c r="C35" s="173"/>
      <c r="D35" s="173"/>
      <c r="E35" s="173"/>
      <c r="F35" s="173"/>
      <c r="G35" s="173"/>
      <c r="J35" s="173" t="s">
        <v>95</v>
      </c>
      <c r="K35" s="173"/>
      <c r="L35" s="173"/>
      <c r="M35" s="173"/>
      <c r="N35" s="173"/>
      <c r="O35" s="173"/>
      <c r="P35" s="173"/>
    </row>
    <row r="36" spans="1:16">
      <c r="A36" s="172" t="s">
        <v>96</v>
      </c>
      <c r="B36" s="172"/>
      <c r="C36" s="172"/>
      <c r="D36" s="172"/>
      <c r="E36" s="172"/>
      <c r="F36" s="172"/>
      <c r="G36" s="172"/>
      <c r="J36" s="172" t="s">
        <v>96</v>
      </c>
      <c r="K36" s="172"/>
      <c r="L36" s="172"/>
      <c r="M36" s="172"/>
      <c r="N36" s="172"/>
      <c r="O36" s="172"/>
      <c r="P36" s="172"/>
    </row>
    <row r="37" spans="1:16">
      <c r="A37" s="358" t="s">
        <v>474</v>
      </c>
      <c r="B37" s="358"/>
      <c r="C37" s="358"/>
      <c r="D37" s="358"/>
      <c r="E37" s="358"/>
      <c r="F37" s="358"/>
      <c r="G37" s="358"/>
      <c r="J37" s="358" t="s">
        <v>474</v>
      </c>
      <c r="K37" s="358"/>
      <c r="L37" s="358"/>
      <c r="M37" s="358"/>
      <c r="N37" s="358"/>
      <c r="O37" s="358"/>
      <c r="P37" s="358"/>
    </row>
    <row r="38" spans="1:16">
      <c r="A38" s="172" t="s">
        <v>97</v>
      </c>
      <c r="B38" s="172"/>
      <c r="C38" s="172"/>
      <c r="D38" s="172"/>
      <c r="E38" s="172"/>
      <c r="F38" s="172"/>
      <c r="G38" s="172"/>
      <c r="J38" s="172" t="s">
        <v>97</v>
      </c>
      <c r="K38" s="172"/>
      <c r="L38" s="172"/>
      <c r="M38" s="172"/>
      <c r="N38" s="172"/>
      <c r="O38" s="172"/>
      <c r="P38" s="172"/>
    </row>
    <row r="39" spans="1:16">
      <c r="A39" s="173" t="s">
        <v>98</v>
      </c>
      <c r="B39" s="173"/>
      <c r="C39" s="173"/>
      <c r="D39" s="173"/>
      <c r="E39" s="173"/>
      <c r="F39" s="173"/>
      <c r="G39" s="173"/>
      <c r="J39" s="173" t="s">
        <v>98</v>
      </c>
      <c r="K39" s="173"/>
      <c r="L39" s="173"/>
      <c r="M39" s="173"/>
      <c r="N39" s="173"/>
      <c r="O39" s="173"/>
      <c r="P39" s="173"/>
    </row>
    <row r="40" spans="1:16">
      <c r="A40" s="172" t="s">
        <v>475</v>
      </c>
      <c r="B40" s="172"/>
      <c r="C40" s="172"/>
      <c r="D40" s="172"/>
      <c r="E40" s="172"/>
      <c r="F40" s="172"/>
      <c r="G40" s="172"/>
      <c r="J40" s="172" t="s">
        <v>475</v>
      </c>
      <c r="K40" s="172"/>
      <c r="L40" s="172"/>
      <c r="M40" s="172"/>
      <c r="N40" s="172"/>
      <c r="O40" s="172"/>
      <c r="P40" s="172"/>
    </row>
    <row r="41" spans="1:16">
      <c r="A41" s="49" t="s">
        <v>85</v>
      </c>
      <c r="B41" s="49"/>
      <c r="C41" s="49"/>
      <c r="D41" s="49"/>
      <c r="E41" s="49"/>
      <c r="F41" s="49"/>
      <c r="G41" s="49"/>
      <c r="J41" s="49" t="s">
        <v>85</v>
      </c>
      <c r="K41" s="49"/>
      <c r="L41" s="49"/>
      <c r="M41" s="49"/>
      <c r="N41" s="49"/>
      <c r="O41" s="49"/>
      <c r="P41" s="49"/>
    </row>
    <row r="42" spans="1:16">
      <c r="A42" s="359" t="s">
        <v>99</v>
      </c>
      <c r="B42" s="359"/>
      <c r="C42" s="359"/>
      <c r="D42" s="359"/>
      <c r="E42" s="359"/>
      <c r="F42" s="359"/>
      <c r="G42" s="359"/>
      <c r="J42" s="359" t="s">
        <v>99</v>
      </c>
      <c r="K42" s="359"/>
      <c r="L42" s="359"/>
      <c r="M42" s="359"/>
      <c r="N42" s="359"/>
      <c r="O42" s="359"/>
      <c r="P42" s="359"/>
    </row>
    <row r="43" spans="1:16">
      <c r="A43" s="172" t="s">
        <v>100</v>
      </c>
      <c r="B43" s="172"/>
      <c r="C43" s="172"/>
      <c r="D43" s="172"/>
      <c r="E43" s="172"/>
      <c r="F43" s="172"/>
      <c r="G43" s="172"/>
      <c r="J43" s="172" t="s">
        <v>100</v>
      </c>
      <c r="K43" s="172"/>
      <c r="L43" s="172"/>
      <c r="M43" s="172"/>
      <c r="N43" s="172"/>
      <c r="O43" s="172"/>
      <c r="P43" s="172"/>
    </row>
    <row r="44" spans="1:16">
      <c r="A44" s="172" t="s">
        <v>101</v>
      </c>
      <c r="B44" s="172"/>
      <c r="C44" s="172"/>
      <c r="D44" s="172"/>
      <c r="E44" s="172"/>
      <c r="F44" s="172"/>
      <c r="G44" s="172"/>
      <c r="J44" s="172" t="s">
        <v>101</v>
      </c>
      <c r="K44" s="172"/>
      <c r="L44" s="172"/>
      <c r="M44" s="172"/>
      <c r="N44" s="172"/>
      <c r="O44" s="172"/>
      <c r="P44" s="172"/>
    </row>
    <row r="45" spans="1:16">
      <c r="A45" s="359" t="s">
        <v>102</v>
      </c>
      <c r="B45" s="359"/>
      <c r="C45" s="359"/>
      <c r="D45" s="359"/>
      <c r="E45" s="359"/>
      <c r="F45" s="359"/>
      <c r="G45" s="359"/>
      <c r="J45" s="359" t="s">
        <v>102</v>
      </c>
      <c r="K45" s="359"/>
      <c r="L45" s="359"/>
      <c r="M45" s="359"/>
      <c r="N45" s="359"/>
      <c r="O45" s="359"/>
      <c r="P45" s="359"/>
    </row>
    <row r="46" spans="1:16">
      <c r="A46" s="172" t="s">
        <v>103</v>
      </c>
      <c r="B46" s="172"/>
      <c r="C46" s="172"/>
      <c r="D46" s="172"/>
      <c r="E46" s="172"/>
      <c r="F46" s="172"/>
      <c r="G46" s="172"/>
      <c r="J46" s="172" t="s">
        <v>103</v>
      </c>
      <c r="K46" s="172"/>
      <c r="L46" s="172"/>
      <c r="M46" s="172"/>
      <c r="N46" s="172"/>
      <c r="O46" s="172"/>
      <c r="P46" s="172"/>
    </row>
    <row r="47" spans="1:16">
      <c r="A47" s="172" t="s">
        <v>450</v>
      </c>
      <c r="B47" s="172"/>
      <c r="C47" s="172"/>
      <c r="D47" s="172"/>
      <c r="E47" s="172"/>
      <c r="F47" s="172"/>
      <c r="G47" s="172"/>
      <c r="J47" s="172" t="s">
        <v>450</v>
      </c>
      <c r="K47" s="172"/>
      <c r="L47" s="172"/>
      <c r="M47" s="172"/>
      <c r="N47" s="172"/>
      <c r="O47" s="172"/>
      <c r="P47" s="172"/>
    </row>
    <row r="48" spans="1:16">
      <c r="A48" s="377" t="s">
        <v>476</v>
      </c>
      <c r="B48" s="377"/>
      <c r="C48" s="377"/>
      <c r="D48" s="377"/>
      <c r="E48" s="377"/>
      <c r="F48" s="377"/>
      <c r="G48" s="377"/>
      <c r="J48" s="377" t="s">
        <v>476</v>
      </c>
      <c r="K48" s="377"/>
      <c r="L48" s="377"/>
      <c r="M48" s="377"/>
      <c r="N48" s="377"/>
      <c r="O48" s="377"/>
      <c r="P48" s="377"/>
    </row>
    <row r="49" spans="1:16">
      <c r="A49" s="172" t="s">
        <v>104</v>
      </c>
      <c r="B49" s="172"/>
      <c r="C49" s="172"/>
      <c r="D49" s="172"/>
      <c r="E49" s="172"/>
      <c r="F49" s="172"/>
      <c r="G49" s="172"/>
      <c r="J49" s="172" t="s">
        <v>104</v>
      </c>
      <c r="K49" s="172"/>
      <c r="L49" s="172"/>
      <c r="M49" s="172"/>
      <c r="N49" s="172"/>
      <c r="O49" s="172"/>
      <c r="P49" s="172"/>
    </row>
    <row r="50" spans="1:16">
      <c r="A50" s="366" t="s">
        <v>105</v>
      </c>
      <c r="B50" s="366">
        <v>0</v>
      </c>
      <c r="C50" s="366"/>
      <c r="D50" s="366">
        <v>0</v>
      </c>
      <c r="E50" s="366"/>
      <c r="F50" s="366">
        <v>0</v>
      </c>
      <c r="G50" s="366"/>
      <c r="J50" s="366" t="s">
        <v>105</v>
      </c>
      <c r="K50" s="366">
        <v>0</v>
      </c>
      <c r="L50" s="366"/>
      <c r="M50" s="366">
        <v>0</v>
      </c>
      <c r="N50" s="366"/>
      <c r="O50" s="366">
        <v>0</v>
      </c>
      <c r="P50" s="366"/>
    </row>
    <row r="51" spans="1:16">
      <c r="A51" s="368" t="s">
        <v>106</v>
      </c>
      <c r="B51" s="387">
        <f>B28</f>
        <v>13146489.333333334</v>
      </c>
      <c r="C51" s="387"/>
      <c r="D51" s="387">
        <f>D28</f>
        <v>-1763597.3431170001</v>
      </c>
      <c r="E51" s="387"/>
      <c r="F51" s="387">
        <f>F28</f>
        <v>22606602.234808002</v>
      </c>
      <c r="G51" s="387">
        <f>G28</f>
        <v>22606602.234807998</v>
      </c>
      <c r="J51" s="368" t="s">
        <v>106</v>
      </c>
      <c r="K51" s="387">
        <f>K28</f>
        <v>0</v>
      </c>
      <c r="L51" s="387"/>
      <c r="M51" s="387">
        <f>M28</f>
        <v>0</v>
      </c>
      <c r="N51" s="387"/>
      <c r="O51" s="387">
        <f>O28</f>
        <v>0</v>
      </c>
      <c r="P51" s="387"/>
    </row>
    <row r="73" spans="6:8">
      <c r="F73" s="1961" t="s">
        <v>487</v>
      </c>
      <c r="G73" s="1961"/>
      <c r="H73" s="1961"/>
    </row>
    <row r="74" spans="6:8">
      <c r="F74" s="1961"/>
      <c r="G74" s="1961"/>
      <c r="H74" s="1961"/>
    </row>
    <row r="75" spans="6:8">
      <c r="F75" s="1961"/>
      <c r="G75" s="1961"/>
      <c r="H75" s="1961"/>
    </row>
    <row r="76" spans="6:8">
      <c r="F76" s="1961"/>
      <c r="G76" s="1961"/>
      <c r="H76" s="1961"/>
    </row>
    <row r="77" spans="6:8">
      <c r="F77" s="1961"/>
      <c r="G77" s="1961"/>
      <c r="H77" s="1961"/>
    </row>
    <row r="78" spans="6:8">
      <c r="F78" s="1961"/>
      <c r="G78" s="1961"/>
      <c r="H78" s="1961"/>
    </row>
    <row r="79" spans="6:8">
      <c r="F79" s="1961"/>
      <c r="G79" s="1961"/>
      <c r="H79" s="1961"/>
    </row>
    <row r="80" spans="6:8">
      <c r="F80" s="1961"/>
      <c r="G80" s="1961"/>
      <c r="H80" s="1961"/>
    </row>
    <row r="81" spans="6:8">
      <c r="F81" s="1961"/>
      <c r="G81" s="1961"/>
      <c r="H81" s="1961"/>
    </row>
    <row r="82" spans="6:8">
      <c r="F82" s="1961"/>
      <c r="G82" s="1961"/>
      <c r="H82" s="1961"/>
    </row>
    <row r="83" spans="6:8">
      <c r="F83" s="1961"/>
      <c r="G83" s="1961"/>
      <c r="H83" s="1961"/>
    </row>
  </sheetData>
  <mergeCells count="1">
    <mergeCell ref="F73:H83"/>
  </mergeCells>
  <pageMargins left="0.75" right="0.75" top="1" bottom="1" header="0.5" footer="0.5"/>
  <pageSetup scale="33" orientation="portrait" horizontalDpi="4294967292" verticalDpi="429496729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5"/>
  <sheetViews>
    <sheetView workbookViewId="0">
      <selection activeCell="F7" sqref="F7"/>
    </sheetView>
  </sheetViews>
  <sheetFormatPr defaultColWidth="11" defaultRowHeight="15.75"/>
  <cols>
    <col min="1" max="1" width="37.125" customWidth="1"/>
    <col min="2" max="2" width="14" customWidth="1"/>
    <col min="3" max="3" width="13.875" customWidth="1"/>
    <col min="4" max="4" width="13.125" customWidth="1"/>
    <col min="5" max="6" width="14" customWidth="1"/>
    <col min="10" max="10" width="22.375" customWidth="1"/>
    <col min="11" max="21" width="12.875" customWidth="1"/>
    <col min="23" max="27" width="13" customWidth="1"/>
  </cols>
  <sheetData>
    <row r="1" spans="1:29">
      <c r="A1" t="s">
        <v>1312</v>
      </c>
      <c r="I1" t="s">
        <v>1471</v>
      </c>
    </row>
    <row r="2" spans="1:29">
      <c r="I2" t="s">
        <v>1472</v>
      </c>
    </row>
    <row r="4" spans="1:29">
      <c r="A4" s="214" t="s">
        <v>110</v>
      </c>
      <c r="B4" s="1052" t="s">
        <v>417</v>
      </c>
      <c r="C4" s="1052" t="s">
        <v>812</v>
      </c>
      <c r="D4" s="1052" t="s">
        <v>840</v>
      </c>
      <c r="E4" s="1052" t="s">
        <v>1213</v>
      </c>
      <c r="F4" s="1052" t="s">
        <v>1213</v>
      </c>
      <c r="I4" s="219" t="s">
        <v>1454</v>
      </c>
      <c r="J4" s="219"/>
      <c r="K4" s="219"/>
      <c r="L4" s="219"/>
      <c r="M4" s="219"/>
      <c r="N4" s="219"/>
      <c r="O4" s="219"/>
      <c r="Q4" s="219" t="s">
        <v>1455</v>
      </c>
      <c r="R4" s="219"/>
      <c r="S4" s="219"/>
      <c r="T4" s="219"/>
      <c r="U4" s="219"/>
      <c r="W4" s="214" t="s">
        <v>110</v>
      </c>
      <c r="X4" s="1052" t="s">
        <v>417</v>
      </c>
      <c r="Y4" s="1052" t="s">
        <v>812</v>
      </c>
      <c r="Z4" s="1052" t="s">
        <v>840</v>
      </c>
      <c r="AA4" s="1052" t="s">
        <v>1213</v>
      </c>
    </row>
    <row r="5" spans="1:29">
      <c r="I5" s="42"/>
      <c r="K5" t="s">
        <v>417</v>
      </c>
      <c r="L5" t="s">
        <v>812</v>
      </c>
      <c r="M5" t="s">
        <v>840</v>
      </c>
      <c r="N5" t="s">
        <v>1624</v>
      </c>
      <c r="O5" t="s">
        <v>1625</v>
      </c>
      <c r="Q5" t="s">
        <v>417</v>
      </c>
      <c r="R5" t="s">
        <v>812</v>
      </c>
      <c r="S5" t="s">
        <v>840</v>
      </c>
      <c r="T5" t="s">
        <v>1624</v>
      </c>
      <c r="U5" t="s">
        <v>1625</v>
      </c>
    </row>
    <row r="6" spans="1:29">
      <c r="A6" s="173" t="s">
        <v>72</v>
      </c>
      <c r="B6" s="219"/>
      <c r="C6" s="219"/>
      <c r="D6" s="219"/>
      <c r="E6" s="219"/>
      <c r="F6" s="219"/>
      <c r="I6" s="1167" t="s">
        <v>1456</v>
      </c>
      <c r="J6" s="1167"/>
      <c r="K6" s="1167"/>
      <c r="L6" s="1167"/>
      <c r="M6" s="1167"/>
      <c r="N6" s="1167"/>
      <c r="O6" s="1167"/>
      <c r="P6" s="1167"/>
      <c r="Q6" s="1670">
        <f>SUM(K7:K11)</f>
        <v>1914340</v>
      </c>
      <c r="R6" s="1670">
        <f>SUM(L7:L11)</f>
        <v>2044660</v>
      </c>
      <c r="S6" s="1670">
        <f>SUM(M7:M11)</f>
        <v>2043820</v>
      </c>
      <c r="T6" s="1670">
        <f>SUM(N7:N11)</f>
        <v>2043780</v>
      </c>
      <c r="U6" s="1670">
        <f>1.05*T6</f>
        <v>2145969</v>
      </c>
      <c r="W6" s="173" t="s">
        <v>72</v>
      </c>
      <c r="X6" s="219"/>
      <c r="Y6" s="219"/>
      <c r="Z6" s="219"/>
      <c r="AA6" s="219"/>
    </row>
    <row r="7" spans="1:29">
      <c r="A7" s="172" t="s">
        <v>73</v>
      </c>
      <c r="B7" s="388">
        <f>SUM(K7,K8,K10,K11)</f>
        <v>1914340</v>
      </c>
      <c r="C7" s="388">
        <f>SUM(L7,L8,L10,L11)</f>
        <v>2044660</v>
      </c>
      <c r="D7" s="388">
        <f>SUM(M7,M8,M10,M11)</f>
        <v>2043820</v>
      </c>
      <c r="E7" s="388">
        <f>T6</f>
        <v>2043780</v>
      </c>
      <c r="F7" s="388">
        <f>U6</f>
        <v>2145969</v>
      </c>
      <c r="J7" t="s">
        <v>1457</v>
      </c>
      <c r="K7" s="402">
        <v>1127580</v>
      </c>
      <c r="L7" s="402">
        <v>1235660</v>
      </c>
      <c r="M7" s="402">
        <v>1298480</v>
      </c>
      <c r="N7" s="1517">
        <v>1275760</v>
      </c>
      <c r="O7" s="1517"/>
      <c r="Q7" s="188"/>
      <c r="R7" s="188"/>
      <c r="S7" s="188"/>
      <c r="T7" s="51"/>
      <c r="U7" s="51"/>
      <c r="W7" s="172" t="s">
        <v>73</v>
      </c>
      <c r="X7" s="388">
        <v>1924693.8039770245</v>
      </c>
      <c r="Y7" s="388">
        <v>2052952.8277442895</v>
      </c>
      <c r="Z7" s="388">
        <v>2030777.8763356796</v>
      </c>
      <c r="AA7" s="388">
        <v>2108892.241710986</v>
      </c>
      <c r="AC7" s="185">
        <f>E7-AA7</f>
        <v>-65112.241710986011</v>
      </c>
    </row>
    <row r="8" spans="1:29">
      <c r="A8" s="172" t="s">
        <v>74</v>
      </c>
      <c r="B8" s="388">
        <f>SUM(K14,K15,K17,K18)</f>
        <v>7354234</v>
      </c>
      <c r="C8" s="388">
        <f>SUM(L14,L15,L17,L18)</f>
        <v>7577461</v>
      </c>
      <c r="D8" s="388">
        <f>SUM(M14,M15,M17,M18)</f>
        <v>7711897</v>
      </c>
      <c r="E8" s="388">
        <f>T12+T16</f>
        <v>8930933</v>
      </c>
      <c r="F8" s="388">
        <f>U12+U16</f>
        <v>8915100.333333334</v>
      </c>
      <c r="J8" t="s">
        <v>1458</v>
      </c>
      <c r="K8" s="402">
        <v>520840</v>
      </c>
      <c r="L8" s="402">
        <v>571780</v>
      </c>
      <c r="M8" s="402">
        <v>611320</v>
      </c>
      <c r="N8" s="1517">
        <v>631800</v>
      </c>
      <c r="O8" s="1517"/>
      <c r="Q8" s="188"/>
      <c r="R8" s="188"/>
      <c r="S8" s="188"/>
      <c r="T8" s="51"/>
      <c r="U8" s="51"/>
      <c r="W8" s="172" t="s">
        <v>74</v>
      </c>
      <c r="X8" s="388">
        <v>8586630.1992997769</v>
      </c>
      <c r="Y8" s="388">
        <v>8879900.6392701976</v>
      </c>
      <c r="Z8" s="388">
        <v>9209518.7428315822</v>
      </c>
      <c r="AA8" s="388">
        <v>9514905.0706656575</v>
      </c>
      <c r="AC8" s="185">
        <f>E8-AA8</f>
        <v>-583972.07066565752</v>
      </c>
    </row>
    <row r="9" spans="1:29">
      <c r="A9" s="173" t="s">
        <v>75</v>
      </c>
      <c r="B9" s="387">
        <f>SUM(K20,K21)</f>
        <v>124905</v>
      </c>
      <c r="C9" s="387">
        <f>SUM(L20,L21)</f>
        <v>130500</v>
      </c>
      <c r="D9" s="387">
        <f>SUM(M20,M21)</f>
        <v>126720</v>
      </c>
      <c r="E9" s="387">
        <f>T19</f>
        <v>121860</v>
      </c>
      <c r="F9" s="387">
        <f>U19</f>
        <v>126360</v>
      </c>
      <c r="I9" s="1167" t="s">
        <v>1459</v>
      </c>
      <c r="J9" s="1167"/>
      <c r="K9" s="1516"/>
      <c r="L9" s="1516"/>
      <c r="M9" s="1516"/>
      <c r="N9" s="1516"/>
      <c r="O9" s="1516"/>
      <c r="P9" s="1167"/>
      <c r="Q9" s="1670"/>
      <c r="R9" s="1670"/>
      <c r="S9" s="1670"/>
      <c r="T9" s="1670"/>
      <c r="U9" s="1670"/>
      <c r="W9" s="173" t="s">
        <v>75</v>
      </c>
      <c r="X9" s="387">
        <v>125384.50666718092</v>
      </c>
      <c r="Y9" s="387">
        <v>131218.85912572179</v>
      </c>
      <c r="Z9" s="387">
        <v>129342.57214686053</v>
      </c>
      <c r="AA9" s="387">
        <v>132606.71145960072</v>
      </c>
      <c r="AC9" s="185">
        <f>E9-AA9</f>
        <v>-10746.711459600716</v>
      </c>
    </row>
    <row r="10" spans="1:29">
      <c r="A10" s="172" t="s">
        <v>76</v>
      </c>
      <c r="B10" s="388"/>
      <c r="C10" s="388"/>
      <c r="D10" s="388"/>
      <c r="E10" s="388"/>
      <c r="F10" s="388"/>
      <c r="J10" t="s">
        <v>1457</v>
      </c>
      <c r="K10" s="402">
        <v>193160</v>
      </c>
      <c r="L10" s="402">
        <v>166380</v>
      </c>
      <c r="M10" s="402">
        <v>97580</v>
      </c>
      <c r="N10" s="1517">
        <v>92740</v>
      </c>
      <c r="O10" s="1517"/>
      <c r="Q10" s="188"/>
      <c r="R10" s="188"/>
      <c r="S10" s="188"/>
      <c r="T10" s="51"/>
      <c r="U10" s="51"/>
      <c r="W10" s="172" t="s">
        <v>76</v>
      </c>
      <c r="X10" s="388"/>
      <c r="Y10" s="388"/>
      <c r="Z10" s="388"/>
      <c r="AA10" s="388"/>
    </row>
    <row r="11" spans="1:29">
      <c r="A11" s="172" t="s">
        <v>77</v>
      </c>
      <c r="B11" s="213"/>
      <c r="C11" s="213"/>
      <c r="D11" s="213"/>
      <c r="E11" s="213"/>
      <c r="F11" s="213"/>
      <c r="J11" t="s">
        <v>1458</v>
      </c>
      <c r="K11" s="402">
        <v>72760</v>
      </c>
      <c r="L11" s="402">
        <v>70840</v>
      </c>
      <c r="M11" s="402">
        <v>36440</v>
      </c>
      <c r="N11" s="1517">
        <v>43480</v>
      </c>
      <c r="O11" s="1517"/>
      <c r="Q11" s="188"/>
      <c r="R11" s="188"/>
      <c r="S11" s="188"/>
      <c r="T11" s="51"/>
      <c r="U11" s="51"/>
      <c r="W11" s="172" t="s">
        <v>77</v>
      </c>
      <c r="X11" s="213"/>
      <c r="Y11" s="213"/>
      <c r="Z11" s="213"/>
      <c r="AA11" s="213"/>
    </row>
    <row r="12" spans="1:29">
      <c r="A12" s="173" t="s">
        <v>78</v>
      </c>
      <c r="B12" s="387"/>
      <c r="C12" s="387"/>
      <c r="D12" s="387"/>
      <c r="E12" s="387"/>
      <c r="F12" s="387"/>
      <c r="I12" s="1167" t="s">
        <v>1460</v>
      </c>
      <c r="J12" s="1167"/>
      <c r="K12" s="1516"/>
      <c r="L12" s="1516"/>
      <c r="M12" s="1516"/>
      <c r="N12" s="1516"/>
      <c r="O12" s="1516"/>
      <c r="P12" s="1167"/>
      <c r="Q12" s="1670">
        <f>SUM(K13:K14)</f>
        <v>4145450</v>
      </c>
      <c r="R12" s="1670">
        <f>SUM(L13:L14)</f>
        <v>4087242</v>
      </c>
      <c r="S12" s="1670">
        <f>SUM(M13:M14)</f>
        <v>4043552</v>
      </c>
      <c r="T12" s="1670">
        <f>SUM(N13:N14)</f>
        <v>3895958</v>
      </c>
      <c r="U12" s="1670">
        <f>AVERAGE(R12:T12)</f>
        <v>4008917.3333333335</v>
      </c>
      <c r="W12" s="173" t="s">
        <v>78</v>
      </c>
      <c r="X12" s="387"/>
      <c r="Y12" s="387"/>
      <c r="Z12" s="387"/>
      <c r="AA12" s="387"/>
    </row>
    <row r="13" spans="1:29">
      <c r="A13" s="172" t="s">
        <v>79</v>
      </c>
      <c r="B13" s="380"/>
      <c r="C13" s="380"/>
      <c r="D13" s="380"/>
      <c r="E13" s="380"/>
      <c r="F13" s="380"/>
      <c r="J13" t="s">
        <v>1457</v>
      </c>
      <c r="K13" s="402">
        <v>1208224</v>
      </c>
      <c r="L13" s="402">
        <v>1270274</v>
      </c>
      <c r="M13" s="402">
        <v>1254736</v>
      </c>
      <c r="N13" s="1517">
        <v>1178780</v>
      </c>
      <c r="O13" s="402"/>
      <c r="T13" s="1517"/>
      <c r="U13" s="1517"/>
      <c r="W13" s="172" t="s">
        <v>79</v>
      </c>
      <c r="X13" s="380"/>
      <c r="Y13" s="380"/>
      <c r="Z13" s="380"/>
      <c r="AA13" s="380"/>
    </row>
    <row r="14" spans="1:29">
      <c r="A14" s="172" t="s">
        <v>80</v>
      </c>
      <c r="B14" s="213"/>
      <c r="C14" s="213"/>
      <c r="D14" s="213"/>
      <c r="E14" s="213"/>
      <c r="F14" s="213"/>
      <c r="J14" t="s">
        <v>1458</v>
      </c>
      <c r="K14" s="402">
        <v>2937226</v>
      </c>
      <c r="L14" s="402">
        <v>2816968</v>
      </c>
      <c r="M14" s="402">
        <v>2788816</v>
      </c>
      <c r="N14" s="1517">
        <v>2717178</v>
      </c>
      <c r="O14" s="1517"/>
      <c r="T14" s="1517"/>
      <c r="U14" s="1517"/>
      <c r="W14" s="172" t="s">
        <v>80</v>
      </c>
      <c r="X14" s="213"/>
      <c r="Y14" s="213"/>
      <c r="Z14" s="213"/>
      <c r="AA14" s="213"/>
    </row>
    <row r="15" spans="1:29">
      <c r="A15" s="173" t="s">
        <v>81</v>
      </c>
      <c r="B15" s="387"/>
      <c r="C15" s="387"/>
      <c r="D15" s="387"/>
      <c r="E15" s="387"/>
      <c r="F15" s="387"/>
      <c r="J15" s="402"/>
      <c r="K15" s="402"/>
      <c r="L15" s="402"/>
      <c r="M15" s="402"/>
      <c r="O15" s="1517"/>
      <c r="Q15" s="402"/>
      <c r="R15" s="402"/>
      <c r="S15" s="402"/>
      <c r="T15" s="1517"/>
      <c r="U15" s="1517"/>
      <c r="W15" s="173" t="s">
        <v>81</v>
      </c>
      <c r="X15" s="387"/>
      <c r="Y15" s="387"/>
      <c r="Z15" s="387"/>
      <c r="AA15" s="387"/>
    </row>
    <row r="16" spans="1:29">
      <c r="A16" s="172" t="s">
        <v>82</v>
      </c>
      <c r="B16" s="213"/>
      <c r="C16" s="213"/>
      <c r="D16" s="213"/>
      <c r="E16" s="213"/>
      <c r="F16" s="213"/>
      <c r="I16" s="1167" t="s">
        <v>1461</v>
      </c>
      <c r="J16" s="1167"/>
      <c r="K16" s="1167"/>
      <c r="L16" s="1167"/>
      <c r="M16" s="1167"/>
      <c r="N16" s="1167"/>
      <c r="O16" s="1167"/>
      <c r="P16" s="1167"/>
      <c r="Q16" s="1670">
        <f>SUM(K17:K18)</f>
        <v>4417008</v>
      </c>
      <c r="R16" s="1670">
        <f>SUM(L17:L18)</f>
        <v>4760493</v>
      </c>
      <c r="S16" s="1670">
        <f>SUM(M17:M18)</f>
        <v>4923081</v>
      </c>
      <c r="T16" s="1670">
        <f>SUM(N17:N18)</f>
        <v>5034975</v>
      </c>
      <c r="U16" s="1670">
        <f>AVERAGE(R16:T16)</f>
        <v>4906183</v>
      </c>
      <c r="W16" s="172" t="s">
        <v>82</v>
      </c>
      <c r="X16" s="213"/>
      <c r="Y16" s="213"/>
      <c r="Z16" s="213"/>
      <c r="AA16" s="213"/>
    </row>
    <row r="17" spans="1:29">
      <c r="A17" s="172" t="s">
        <v>83</v>
      </c>
      <c r="B17" s="213"/>
      <c r="C17" s="213"/>
      <c r="D17" s="213"/>
      <c r="E17" s="213"/>
      <c r="F17" s="213"/>
      <c r="J17" t="s">
        <v>1457</v>
      </c>
      <c r="K17" s="402">
        <v>3098658</v>
      </c>
      <c r="L17" s="402">
        <v>3375894</v>
      </c>
      <c r="M17" s="402">
        <v>3536136</v>
      </c>
      <c r="N17" s="1517">
        <v>3596112</v>
      </c>
      <c r="O17" s="1517"/>
      <c r="Q17" s="402"/>
      <c r="R17" s="402"/>
      <c r="S17" s="402"/>
      <c r="T17" s="1517"/>
      <c r="U17" s="1517"/>
      <c r="W17" s="172" t="s">
        <v>83</v>
      </c>
      <c r="X17" s="213"/>
      <c r="Y17" s="213"/>
      <c r="Z17" s="213"/>
      <c r="AA17" s="213"/>
    </row>
    <row r="18" spans="1:29">
      <c r="A18" s="173" t="s">
        <v>84</v>
      </c>
      <c r="B18" s="387">
        <f>SUM(K23,K24)</f>
        <v>965030</v>
      </c>
      <c r="C18" s="387">
        <f>SUM(L23,L24)</f>
        <v>1278992.5</v>
      </c>
      <c r="D18" s="387">
        <f>SUM(M23,M24)</f>
        <v>1667500</v>
      </c>
      <c r="E18" s="387">
        <f>T22</f>
        <v>1902000</v>
      </c>
      <c r="F18" s="387">
        <f>U22</f>
        <v>1959060</v>
      </c>
      <c r="J18" t="s">
        <v>1458</v>
      </c>
      <c r="K18" s="402">
        <v>1318350</v>
      </c>
      <c r="L18" s="402">
        <v>1384599</v>
      </c>
      <c r="M18" s="402">
        <v>1386945</v>
      </c>
      <c r="N18" s="1517">
        <v>1438863</v>
      </c>
      <c r="O18" s="1517"/>
      <c r="Q18" s="402"/>
      <c r="R18" s="402"/>
      <c r="S18" s="402"/>
      <c r="T18" s="1517"/>
      <c r="U18" s="1517"/>
      <c r="W18" s="173" t="s">
        <v>84</v>
      </c>
      <c r="X18" s="387">
        <v>965712</v>
      </c>
      <c r="Y18" s="387">
        <v>1278311</v>
      </c>
      <c r="Z18" s="387">
        <v>1669232</v>
      </c>
      <c r="AA18" s="387">
        <v>1736001.28</v>
      </c>
      <c r="AC18" s="185">
        <f>E18-AA18</f>
        <v>165998.71999999997</v>
      </c>
    </row>
    <row r="19" spans="1:29">
      <c r="A19" s="172" t="s">
        <v>86</v>
      </c>
      <c r="B19" s="213"/>
      <c r="C19" s="213"/>
      <c r="D19" s="213"/>
      <c r="E19" s="213"/>
      <c r="F19" s="213"/>
      <c r="I19" s="1167" t="s">
        <v>1462</v>
      </c>
      <c r="J19" s="1167"/>
      <c r="K19" s="1516"/>
      <c r="L19" s="1516"/>
      <c r="M19" s="1516"/>
      <c r="N19" s="1516"/>
      <c r="O19" s="1516"/>
      <c r="P19" s="1167"/>
      <c r="Q19" s="1670">
        <f>SUM(K20:K21)</f>
        <v>124905</v>
      </c>
      <c r="R19" s="1670">
        <f>SUM(L20:L21)</f>
        <v>130500</v>
      </c>
      <c r="S19" s="1670">
        <f>SUM(M20:M21)</f>
        <v>126720</v>
      </c>
      <c r="T19" s="1670">
        <f>SUM(N20:N21)</f>
        <v>121860</v>
      </c>
      <c r="U19" s="1670">
        <f>AVERAGE(R19:T19)</f>
        <v>126360</v>
      </c>
      <c r="W19" s="172" t="s">
        <v>86</v>
      </c>
      <c r="X19" s="213"/>
      <c r="Y19" s="213"/>
      <c r="Z19" s="213"/>
      <c r="AA19" s="213"/>
    </row>
    <row r="20" spans="1:29">
      <c r="A20" s="1274" t="s">
        <v>1281</v>
      </c>
      <c r="B20" s="1275">
        <f>SUM(B7:B19)</f>
        <v>10358509</v>
      </c>
      <c r="C20" s="1275">
        <f>SUM(C7:C19)</f>
        <v>11031613.5</v>
      </c>
      <c r="D20" s="1275">
        <f>SUM(D7:D19)</f>
        <v>11549937</v>
      </c>
      <c r="E20" s="1275">
        <f>SUM(E7:E19)</f>
        <v>12998573</v>
      </c>
      <c r="F20" s="1275">
        <f>SUM(F7:F19)</f>
        <v>13146489.333333334</v>
      </c>
      <c r="J20" t="s">
        <v>1457</v>
      </c>
      <c r="K20" s="402">
        <v>110760</v>
      </c>
      <c r="L20" s="402">
        <v>116370</v>
      </c>
      <c r="M20" s="402">
        <v>110070</v>
      </c>
      <c r="N20" s="1517">
        <v>102225</v>
      </c>
      <c r="O20" s="1517"/>
      <c r="Q20" s="402"/>
      <c r="R20" s="402"/>
      <c r="S20" s="402"/>
      <c r="T20" s="1517"/>
      <c r="U20" s="1517"/>
      <c r="W20" s="1274" t="s">
        <v>1281</v>
      </c>
      <c r="X20" s="1275">
        <f>SUM(X7:X19)</f>
        <v>11602420.509943981</v>
      </c>
      <c r="Y20" s="1275">
        <f>SUM(Y7:Y19)</f>
        <v>12342383.32614021</v>
      </c>
      <c r="Z20" s="1275">
        <f>SUM(Z7:Z19)</f>
        <v>13038871.191314122</v>
      </c>
      <c r="AA20" s="1275">
        <f>SUM(AA7:AA19)</f>
        <v>13492405.303836245</v>
      </c>
    </row>
    <row r="21" spans="1:29">
      <c r="A21" s="172" t="s">
        <v>111</v>
      </c>
      <c r="J21" t="s">
        <v>1458</v>
      </c>
      <c r="K21" s="402">
        <v>14145</v>
      </c>
      <c r="L21" s="402">
        <v>14130</v>
      </c>
      <c r="M21" s="402">
        <v>16650</v>
      </c>
      <c r="N21" s="1517">
        <v>19635</v>
      </c>
      <c r="O21" s="1517"/>
      <c r="Q21" s="402"/>
      <c r="R21" s="402"/>
      <c r="S21" s="402"/>
      <c r="T21" s="1517"/>
      <c r="U21" s="1517"/>
      <c r="W21" s="172" t="s">
        <v>111</v>
      </c>
    </row>
    <row r="22" spans="1:29">
      <c r="I22" s="1167" t="s">
        <v>1463</v>
      </c>
      <c r="J22" s="1167"/>
      <c r="K22" s="1516"/>
      <c r="L22" s="1516"/>
      <c r="M22" s="1516"/>
      <c r="N22" s="1516"/>
      <c r="O22" s="1516"/>
      <c r="P22" s="1167"/>
      <c r="Q22" s="1670">
        <f>SUM(K23:K24)</f>
        <v>965030</v>
      </c>
      <c r="R22" s="1670">
        <f>SUM(L23:L24)</f>
        <v>1278992.5</v>
      </c>
      <c r="S22" s="1670">
        <f>SUM(M23:M24)</f>
        <v>1667500</v>
      </c>
      <c r="T22" s="1670">
        <f>SUM(N23:N24)</f>
        <v>1902000</v>
      </c>
      <c r="U22" s="1670">
        <f>1.03*T22</f>
        <v>1959060</v>
      </c>
    </row>
    <row r="23" spans="1:29">
      <c r="A23" s="173" t="s">
        <v>72</v>
      </c>
      <c r="B23" s="219"/>
      <c r="C23" s="219"/>
      <c r="D23" s="219"/>
      <c r="E23" s="219"/>
      <c r="F23" s="219"/>
      <c r="J23" t="s">
        <v>1457</v>
      </c>
      <c r="K23" s="402">
        <v>810898</v>
      </c>
      <c r="L23" s="402">
        <v>1093231.5</v>
      </c>
      <c r="M23" s="402">
        <v>1428500</v>
      </c>
      <c r="N23" s="1517">
        <v>1603500</v>
      </c>
      <c r="O23" s="1517"/>
      <c r="Q23" s="402"/>
      <c r="R23" s="402"/>
      <c r="S23" s="402"/>
      <c r="T23" s="1517"/>
      <c r="U23" s="1517"/>
      <c r="W23" s="173" t="s">
        <v>72</v>
      </c>
    </row>
    <row r="24" spans="1:29">
      <c r="A24" s="172" t="s">
        <v>73</v>
      </c>
      <c r="B24" s="388">
        <f>SUM(K26,K27)</f>
        <v>1359143</v>
      </c>
      <c r="C24" s="388">
        <f>SUM(L26,L27)</f>
        <v>1074454</v>
      </c>
      <c r="D24" s="388">
        <f>SUM(M26,M27)</f>
        <v>969647</v>
      </c>
      <c r="E24" s="388">
        <f>T25</f>
        <v>672899.5</v>
      </c>
      <c r="F24" s="388">
        <f>U25</f>
        <v>706544.47499999998</v>
      </c>
      <c r="J24" t="s">
        <v>1458</v>
      </c>
      <c r="K24" s="402">
        <v>154132</v>
      </c>
      <c r="L24" s="402">
        <v>185761</v>
      </c>
      <c r="M24" s="402">
        <v>239000</v>
      </c>
      <c r="N24" s="1517">
        <v>298500</v>
      </c>
      <c r="O24" s="1517"/>
      <c r="Q24" s="402"/>
      <c r="R24" s="402"/>
      <c r="S24" s="402"/>
      <c r="T24" s="1517"/>
      <c r="U24" s="1517"/>
      <c r="W24" s="172" t="s">
        <v>73</v>
      </c>
      <c r="X24" s="388">
        <v>1471307.7658610097</v>
      </c>
      <c r="Y24" s="388">
        <v>1105941.6862699538</v>
      </c>
      <c r="Z24" s="388">
        <v>1185860.618432652</v>
      </c>
      <c r="AA24" s="388">
        <v>1145901.152351303</v>
      </c>
      <c r="AC24" s="185">
        <f>E24-AA24</f>
        <v>-473001.65235130303</v>
      </c>
    </row>
    <row r="25" spans="1:29">
      <c r="A25" s="172" t="s">
        <v>74</v>
      </c>
      <c r="B25" s="388">
        <f>SUM(K29,K30)</f>
        <v>1957065</v>
      </c>
      <c r="C25" s="388">
        <f>SUM(L29,L30)</f>
        <v>2025595</v>
      </c>
      <c r="D25" s="388">
        <f>SUM(M29,M30)</f>
        <v>1900745</v>
      </c>
      <c r="E25" s="388">
        <f>T28</f>
        <v>1869725</v>
      </c>
      <c r="F25" s="388">
        <f>U28</f>
        <v>1932021.6666666667</v>
      </c>
      <c r="I25" s="1167" t="s">
        <v>1464</v>
      </c>
      <c r="J25" s="1167"/>
      <c r="K25" s="1516"/>
      <c r="L25" s="1516"/>
      <c r="M25" s="1516"/>
      <c r="N25" s="1516"/>
      <c r="O25" s="1516"/>
      <c r="P25" s="1167"/>
      <c r="Q25" s="1670">
        <f>SUM(K26:K27)</f>
        <v>1359143</v>
      </c>
      <c r="R25" s="1670">
        <f>SUM(L26:L27)</f>
        <v>1074454</v>
      </c>
      <c r="S25" s="1670">
        <f>SUM(M26:M27)</f>
        <v>969647</v>
      </c>
      <c r="T25" s="1670">
        <f>SUM(N26:N27)</f>
        <v>672899.5</v>
      </c>
      <c r="U25" s="1670">
        <f>1.05*T25</f>
        <v>706544.47499999998</v>
      </c>
      <c r="W25" s="172" t="s">
        <v>74</v>
      </c>
      <c r="X25" s="388">
        <v>1861225.6618193835</v>
      </c>
      <c r="Y25" s="388">
        <v>2056987.900575272</v>
      </c>
      <c r="Z25" s="388">
        <v>1918458.4909614581</v>
      </c>
      <c r="AA25" s="388">
        <v>2002790.1802607789</v>
      </c>
      <c r="AC25" s="185">
        <f>E25-AA25</f>
        <v>-133065.18026077887</v>
      </c>
    </row>
    <row r="26" spans="1:29">
      <c r="A26" s="173" t="s">
        <v>75</v>
      </c>
      <c r="B26" s="387"/>
      <c r="C26" s="387"/>
      <c r="D26" s="387"/>
      <c r="E26" s="387"/>
      <c r="F26" s="387"/>
      <c r="J26" s="42" t="s">
        <v>1457</v>
      </c>
      <c r="K26" s="1517">
        <v>145557</v>
      </c>
      <c r="L26" s="1517">
        <v>229713</v>
      </c>
      <c r="M26" s="1517">
        <v>291859</v>
      </c>
      <c r="N26" s="1517">
        <v>136981.5</v>
      </c>
      <c r="O26" s="1517"/>
      <c r="T26" s="1517"/>
      <c r="U26" s="1517"/>
      <c r="W26" s="173" t="s">
        <v>75</v>
      </c>
      <c r="X26" s="387"/>
      <c r="Y26" s="387"/>
      <c r="Z26" s="387"/>
      <c r="AA26" s="387"/>
    </row>
    <row r="27" spans="1:29">
      <c r="A27" s="172" t="s">
        <v>76</v>
      </c>
      <c r="B27" s="388">
        <f>Q37</f>
        <v>132639</v>
      </c>
      <c r="C27" s="388">
        <f>R37</f>
        <v>164687</v>
      </c>
      <c r="D27" s="388">
        <f>S37</f>
        <v>190825</v>
      </c>
      <c r="E27" s="388">
        <f>T37</f>
        <v>232657</v>
      </c>
      <c r="F27" s="388">
        <f>U37</f>
        <v>262657</v>
      </c>
      <c r="J27" s="42" t="s">
        <v>1458</v>
      </c>
      <c r="K27" s="1517">
        <v>1213586</v>
      </c>
      <c r="L27" s="1517">
        <v>844741</v>
      </c>
      <c r="M27" s="1517">
        <v>677788</v>
      </c>
      <c r="N27" s="1517">
        <v>535918</v>
      </c>
      <c r="O27" s="1517"/>
      <c r="Q27" s="402"/>
      <c r="R27" s="402"/>
      <c r="S27" s="402"/>
      <c r="T27" s="1517"/>
      <c r="U27" s="1517"/>
      <c r="W27" s="172" t="s">
        <v>76</v>
      </c>
      <c r="X27" s="388"/>
      <c r="Y27" s="388"/>
      <c r="Z27" s="388"/>
      <c r="AA27" s="388"/>
    </row>
    <row r="28" spans="1:29">
      <c r="A28" s="172" t="s">
        <v>77</v>
      </c>
      <c r="B28" s="213"/>
      <c r="C28" s="213"/>
      <c r="D28" s="213"/>
      <c r="E28" s="213"/>
      <c r="F28" s="213"/>
      <c r="I28" s="1167" t="s">
        <v>1465</v>
      </c>
      <c r="J28" s="1167"/>
      <c r="K28" s="1516"/>
      <c r="L28" s="1516"/>
      <c r="M28" s="1516"/>
      <c r="N28" s="1516"/>
      <c r="O28" s="1516"/>
      <c r="P28" s="1167"/>
      <c r="Q28" s="1670">
        <f>SUM(K29:K30)</f>
        <v>1957065</v>
      </c>
      <c r="R28" s="1670">
        <f>SUM(L29:L30)</f>
        <v>2025595</v>
      </c>
      <c r="S28" s="1670">
        <f>SUM(M29:M30)</f>
        <v>1900745</v>
      </c>
      <c r="T28" s="1670">
        <f>SUM(N29:N30)</f>
        <v>1869725</v>
      </c>
      <c r="U28" s="1670">
        <f>AVERAGE(R28:T28)</f>
        <v>1932021.6666666667</v>
      </c>
      <c r="W28" s="172" t="s">
        <v>77</v>
      </c>
      <c r="X28" s="213"/>
      <c r="Y28" s="213"/>
      <c r="Z28" s="213"/>
      <c r="AA28" s="213"/>
    </row>
    <row r="29" spans="1:29">
      <c r="A29" s="173" t="s">
        <v>78</v>
      </c>
      <c r="B29" s="387"/>
      <c r="C29" s="387"/>
      <c r="D29" s="387"/>
      <c r="E29" s="387"/>
      <c r="F29" s="387"/>
      <c r="J29" t="s">
        <v>1457</v>
      </c>
      <c r="K29" s="402">
        <v>1408110</v>
      </c>
      <c r="L29" s="402">
        <v>1509090</v>
      </c>
      <c r="M29" s="402">
        <v>1464650</v>
      </c>
      <c r="N29" s="1517">
        <v>1391335</v>
      </c>
      <c r="O29" s="1517"/>
      <c r="Q29" s="402"/>
      <c r="R29" s="402"/>
      <c r="S29" s="402"/>
      <c r="T29" s="402"/>
      <c r="U29" s="402"/>
      <c r="W29" s="173" t="s">
        <v>78</v>
      </c>
      <c r="X29" s="387"/>
      <c r="Y29" s="387"/>
      <c r="Z29" s="387"/>
      <c r="AA29" s="387"/>
    </row>
    <row r="30" spans="1:29">
      <c r="A30" s="172" t="s">
        <v>79</v>
      </c>
      <c r="B30" s="380"/>
      <c r="C30" s="380"/>
      <c r="D30" s="380"/>
      <c r="E30" s="380"/>
      <c r="F30" s="380"/>
      <c r="J30" t="s">
        <v>1458</v>
      </c>
      <c r="K30" s="402">
        <v>548955</v>
      </c>
      <c r="L30" s="402">
        <v>516505</v>
      </c>
      <c r="M30" s="402">
        <v>436095</v>
      </c>
      <c r="N30" s="1517">
        <v>478390</v>
      </c>
      <c r="O30" s="1517"/>
      <c r="Q30" s="402"/>
      <c r="R30" s="402"/>
      <c r="S30" s="402"/>
      <c r="T30" s="402"/>
      <c r="U30" s="402"/>
      <c r="W30" s="172" t="s">
        <v>79</v>
      </c>
      <c r="X30" s="380"/>
      <c r="Y30" s="380"/>
      <c r="Z30" s="380"/>
      <c r="AA30" s="380"/>
    </row>
    <row r="31" spans="1:29">
      <c r="A31" s="172" t="s">
        <v>80</v>
      </c>
      <c r="B31" s="213">
        <f>SUM(K35,K36)</f>
        <v>3743671</v>
      </c>
      <c r="C31" s="213">
        <f>SUM(L35,L36)</f>
        <v>3810417</v>
      </c>
      <c r="D31" s="213">
        <f>SUM(M35,M36)</f>
        <v>4143126</v>
      </c>
      <c r="E31" s="1276">
        <f>T34</f>
        <v>4448894.5</v>
      </c>
      <c r="F31" s="1276">
        <f>U34</f>
        <v>4446449.7429250004</v>
      </c>
      <c r="I31" s="1167" t="s">
        <v>1466</v>
      </c>
      <c r="J31" s="1167"/>
      <c r="K31" s="1516"/>
      <c r="L31" s="1516"/>
      <c r="M31" s="1516"/>
      <c r="N31" s="1516"/>
      <c r="O31" s="1516"/>
      <c r="P31" s="1167"/>
      <c r="Q31" s="1670">
        <f>SUM(K32:K33)</f>
        <v>3541631</v>
      </c>
      <c r="R31" s="1670">
        <f>SUM(L32:L33)</f>
        <v>3599343</v>
      </c>
      <c r="S31" s="1670">
        <f>SUM(M32:M33)</f>
        <v>3907530</v>
      </c>
      <c r="T31" s="1670">
        <f>SUM(N32:N33)</f>
        <v>4128249.5</v>
      </c>
      <c r="U31" s="1670">
        <f>1.0397*AVERAGE(M32:N32)+1.0232*AVERAGE(M33:N33)</f>
        <v>4159574.8168250006</v>
      </c>
      <c r="W31" s="172" t="s">
        <v>80</v>
      </c>
      <c r="X31" s="213">
        <v>3898852.4032258065</v>
      </c>
      <c r="Y31" s="213">
        <v>3941944.7205882357</v>
      </c>
      <c r="Z31" s="213">
        <v>4317874.2287161276</v>
      </c>
      <c r="AA31" s="1276">
        <v>4471912.2763337111</v>
      </c>
      <c r="AC31" s="185">
        <f>E31-AA31</f>
        <v>-23017.77633371111</v>
      </c>
    </row>
    <row r="32" spans="1:29">
      <c r="A32" s="173" t="s">
        <v>81</v>
      </c>
      <c r="B32" s="387"/>
      <c r="C32" s="387"/>
      <c r="D32" s="387"/>
      <c r="E32" s="387"/>
      <c r="F32" s="387"/>
      <c r="J32" t="s">
        <v>1457</v>
      </c>
      <c r="K32" s="402">
        <v>2498292</v>
      </c>
      <c r="L32" s="402">
        <v>2573478</v>
      </c>
      <c r="M32" s="402">
        <v>2784897</v>
      </c>
      <c r="N32" s="1517">
        <v>3090257.5</v>
      </c>
      <c r="O32" s="1517"/>
      <c r="Q32" s="402"/>
      <c r="R32" s="402"/>
      <c r="S32" s="402"/>
      <c r="T32" s="402"/>
      <c r="U32" s="402"/>
      <c r="W32" s="173" t="s">
        <v>81</v>
      </c>
      <c r="X32" s="387"/>
      <c r="Y32" s="387"/>
      <c r="Z32" s="387"/>
      <c r="AA32" s="387"/>
    </row>
    <row r="33" spans="1:29">
      <c r="A33" s="172" t="s">
        <v>82</v>
      </c>
      <c r="B33" s="213">
        <f>SUM(K44,K45)</f>
        <v>2429650</v>
      </c>
      <c r="C33" s="213">
        <f>SUM(L44,L45)</f>
        <v>2498367</v>
      </c>
      <c r="D33" s="213">
        <f>SUM(M44,M45)</f>
        <v>2958168</v>
      </c>
      <c r="E33" s="213">
        <f>T43</f>
        <v>3380959</v>
      </c>
      <c r="F33" s="213">
        <f>U43</f>
        <v>3876037.3600000003</v>
      </c>
      <c r="J33" t="s">
        <v>1458</v>
      </c>
      <c r="K33" s="402">
        <v>1043339</v>
      </c>
      <c r="L33" s="402">
        <v>1025865</v>
      </c>
      <c r="M33" s="402">
        <v>1122633</v>
      </c>
      <c r="N33" s="1517">
        <v>1037992</v>
      </c>
      <c r="O33" s="1517"/>
      <c r="Q33" s="402"/>
      <c r="R33" s="402"/>
      <c r="S33" s="402"/>
      <c r="T33" s="402"/>
      <c r="U33" s="402"/>
      <c r="W33" s="172" t="s">
        <v>82</v>
      </c>
      <c r="X33" s="213">
        <v>2716557.3802842409</v>
      </c>
      <c r="Y33" s="213">
        <v>2773925.9957282022</v>
      </c>
      <c r="Z33" s="213">
        <v>3276700.2123601898</v>
      </c>
      <c r="AA33" s="213">
        <v>3482537.3615334933</v>
      </c>
      <c r="AC33" s="185">
        <f>E33-AA33</f>
        <v>-101578.36153349327</v>
      </c>
    </row>
    <row r="34" spans="1:29">
      <c r="A34" s="172" t="s">
        <v>83</v>
      </c>
      <c r="B34" s="213"/>
      <c r="C34" s="213"/>
      <c r="D34" s="213"/>
      <c r="E34" s="213"/>
      <c r="F34" s="213"/>
      <c r="I34" s="1167" t="s">
        <v>1467</v>
      </c>
      <c r="J34" s="1167"/>
      <c r="K34" s="1516"/>
      <c r="L34" s="1516"/>
      <c r="M34" s="1516"/>
      <c r="N34" s="1516"/>
      <c r="O34" s="1516"/>
      <c r="P34" s="1167"/>
      <c r="Q34" s="1670">
        <f>SUM(K35:K36)</f>
        <v>3743671</v>
      </c>
      <c r="R34" s="1670">
        <f>SUM(L35:L36)</f>
        <v>3810417</v>
      </c>
      <c r="S34" s="1670">
        <f>SUM(M35:M36)</f>
        <v>4143126</v>
      </c>
      <c r="T34" s="1670">
        <f>SUM(N35:N36)</f>
        <v>4448894.5</v>
      </c>
      <c r="U34" s="1670">
        <f>1.0397*AVERAGE(M35:N35)+1.0232*AVERAGE(M36:N36)</f>
        <v>4446449.7429250004</v>
      </c>
      <c r="W34" s="172" t="s">
        <v>83</v>
      </c>
      <c r="X34" s="213"/>
      <c r="Y34" s="213"/>
      <c r="Z34" s="213"/>
      <c r="AA34" s="213"/>
    </row>
    <row r="35" spans="1:29">
      <c r="A35" s="173" t="s">
        <v>84</v>
      </c>
      <c r="B35" s="387"/>
      <c r="C35" s="387"/>
      <c r="D35" s="387"/>
      <c r="E35" s="387"/>
      <c r="F35" s="387"/>
      <c r="J35" t="s">
        <v>1457</v>
      </c>
      <c r="K35" s="402">
        <v>2610356</v>
      </c>
      <c r="L35" s="402">
        <v>2668806</v>
      </c>
      <c r="M35" s="402">
        <v>2909961</v>
      </c>
      <c r="N35" s="1517">
        <v>3244227.5</v>
      </c>
      <c r="O35" s="1517"/>
      <c r="Q35" s="402"/>
      <c r="R35" s="402"/>
      <c r="S35" s="402"/>
      <c r="T35" s="402"/>
      <c r="U35" s="402"/>
      <c r="W35" s="173" t="s">
        <v>84</v>
      </c>
      <c r="X35" s="387"/>
      <c r="Y35" s="387"/>
      <c r="Z35" s="387"/>
      <c r="AA35" s="387"/>
    </row>
    <row r="36" spans="1:29">
      <c r="A36" s="172" t="s">
        <v>86</v>
      </c>
      <c r="J36" t="s">
        <v>1458</v>
      </c>
      <c r="K36" s="402">
        <v>1133315</v>
      </c>
      <c r="L36" s="402">
        <v>1141611</v>
      </c>
      <c r="M36" s="402">
        <v>1233165</v>
      </c>
      <c r="N36" s="1517">
        <v>1204667</v>
      </c>
      <c r="O36" s="1517"/>
      <c r="Q36" s="402"/>
      <c r="R36" s="402"/>
      <c r="S36" s="402"/>
      <c r="T36" s="402"/>
      <c r="U36" s="402"/>
      <c r="W36" s="172" t="s">
        <v>86</v>
      </c>
    </row>
    <row r="37" spans="1:29">
      <c r="A37" s="1274" t="s">
        <v>1281</v>
      </c>
      <c r="B37" s="1275">
        <f>SUM(B24:B36)</f>
        <v>9622168</v>
      </c>
      <c r="C37" s="1275">
        <f>SUM(C24:C36)</f>
        <v>9573520</v>
      </c>
      <c r="D37" s="1275">
        <f>SUM(D24:D36)</f>
        <v>10162511</v>
      </c>
      <c r="E37" s="1275">
        <f>SUM(E24:E36)</f>
        <v>10605135</v>
      </c>
      <c r="F37" s="1275">
        <f>SUM(F24:F36)</f>
        <v>11223710.244591668</v>
      </c>
      <c r="I37" s="1167" t="s">
        <v>1468</v>
      </c>
      <c r="J37" s="1167"/>
      <c r="K37" s="1516"/>
      <c r="L37" s="1516"/>
      <c r="M37" s="1516"/>
      <c r="N37" s="1516"/>
      <c r="O37" s="1516"/>
      <c r="P37" s="1167"/>
      <c r="Q37" s="1670">
        <f>SUM(K38:K39)</f>
        <v>132639</v>
      </c>
      <c r="R37" s="1670">
        <f>SUM(L38:L39)</f>
        <v>164687</v>
      </c>
      <c r="S37" s="1670">
        <f>SUM(M38:M39)</f>
        <v>190825</v>
      </c>
      <c r="T37" s="1670">
        <f>SUM(N38:N39)</f>
        <v>232657</v>
      </c>
      <c r="U37" s="1670">
        <f>T37+30000</f>
        <v>262657</v>
      </c>
      <c r="W37" s="1274" t="s">
        <v>1281</v>
      </c>
      <c r="X37" s="1275">
        <f>SUM(X24:X36)</f>
        <v>9947943.2111904398</v>
      </c>
      <c r="Y37" s="1275">
        <f>SUM(Y24:Y36)</f>
        <v>9878800.3031616639</v>
      </c>
      <c r="Z37" s="1275">
        <f>SUM(Z24:Z36)</f>
        <v>10698893.550470427</v>
      </c>
      <c r="AA37" s="1275">
        <f>SUM(AA24:AA36)</f>
        <v>11103140.970479285</v>
      </c>
    </row>
    <row r="38" spans="1:29">
      <c r="A38" s="172" t="s">
        <v>1277</v>
      </c>
      <c r="J38" t="s">
        <v>1457</v>
      </c>
      <c r="K38" s="402">
        <v>95067</v>
      </c>
      <c r="L38" s="402">
        <v>88128</v>
      </c>
      <c r="M38" s="402">
        <v>90027</v>
      </c>
      <c r="N38" s="1517">
        <v>102110</v>
      </c>
      <c r="O38" s="1517"/>
      <c r="Q38" s="402"/>
      <c r="R38" s="402"/>
      <c r="S38" s="402"/>
      <c r="T38" s="402"/>
      <c r="U38" s="402"/>
    </row>
    <row r="39" spans="1:29">
      <c r="A39" s="172" t="s">
        <v>1278</v>
      </c>
      <c r="J39" t="s">
        <v>1458</v>
      </c>
      <c r="K39" s="402">
        <v>37572</v>
      </c>
      <c r="L39" s="402">
        <v>76559</v>
      </c>
      <c r="M39" s="402">
        <v>100798</v>
      </c>
      <c r="N39" s="1517">
        <v>130547</v>
      </c>
      <c r="O39" s="1517"/>
      <c r="Q39" s="402"/>
      <c r="R39" s="402"/>
      <c r="S39" s="402"/>
      <c r="T39" s="402"/>
      <c r="U39" s="402"/>
    </row>
    <row r="40" spans="1:29">
      <c r="A40" s="172" t="s">
        <v>1279</v>
      </c>
      <c r="I40" s="1167" t="s">
        <v>1469</v>
      </c>
      <c r="J40" s="1167"/>
      <c r="K40" s="1516"/>
      <c r="L40" s="1516"/>
      <c r="M40" s="1516"/>
      <c r="N40" s="1516"/>
      <c r="O40" s="1516"/>
      <c r="P40" s="1167"/>
      <c r="Q40" s="1670">
        <f>SUM(K41:K42)</f>
        <v>2353391</v>
      </c>
      <c r="R40" s="1670">
        <f>SUM(L41:L42)</f>
        <v>2402729</v>
      </c>
      <c r="S40" s="1670">
        <f>SUM(M41:M42)</f>
        <v>2861816</v>
      </c>
      <c r="T40" s="1670">
        <f>SUM(N41:N42)</f>
        <v>3272307</v>
      </c>
      <c r="U40" s="1670">
        <f>1.04*T40+16*22490</f>
        <v>3763039.2800000003</v>
      </c>
    </row>
    <row r="41" spans="1:29">
      <c r="A41" s="172" t="s">
        <v>1280</v>
      </c>
      <c r="J41" t="s">
        <v>1457</v>
      </c>
      <c r="K41" s="402">
        <v>1222680</v>
      </c>
      <c r="L41" s="402">
        <v>1295971</v>
      </c>
      <c r="M41" s="402">
        <v>1394354</v>
      </c>
      <c r="N41" s="1517">
        <v>1478955</v>
      </c>
      <c r="O41" s="1517"/>
      <c r="Q41" s="402"/>
      <c r="R41" s="402"/>
      <c r="S41" s="402"/>
      <c r="T41" s="402"/>
      <c r="U41" s="402"/>
    </row>
    <row r="42" spans="1:29">
      <c r="J42" t="s">
        <v>1458</v>
      </c>
      <c r="K42" s="402">
        <v>1130711</v>
      </c>
      <c r="L42" s="402">
        <v>1106758</v>
      </c>
      <c r="M42" s="402">
        <v>1467462</v>
      </c>
      <c r="N42" s="1517">
        <v>1793352</v>
      </c>
      <c r="O42" s="1517"/>
      <c r="Q42" s="402"/>
      <c r="R42" s="402"/>
      <c r="S42" s="402"/>
      <c r="T42" s="402"/>
      <c r="U42" s="402"/>
    </row>
    <row r="43" spans="1:29">
      <c r="I43" s="1167" t="s">
        <v>1470</v>
      </c>
      <c r="J43" s="1167"/>
      <c r="K43" s="1516"/>
      <c r="L43" s="1516"/>
      <c r="M43" s="1516"/>
      <c r="N43" s="1516"/>
      <c r="O43" s="1516"/>
      <c r="P43" s="1167"/>
      <c r="Q43" s="1670">
        <f>SUM(K44:K45)</f>
        <v>2429650</v>
      </c>
      <c r="R43" s="1670">
        <f>SUM(L44:L45)</f>
        <v>2498367</v>
      </c>
      <c r="S43" s="1670">
        <f>SUM(M44:M45)</f>
        <v>2958168</v>
      </c>
      <c r="T43" s="1670">
        <f>SUM(N44:N45)</f>
        <v>3380959</v>
      </c>
      <c r="U43" s="1670">
        <f>1.04*T43+16*22490</f>
        <v>3876037.3600000003</v>
      </c>
    </row>
    <row r="44" spans="1:29">
      <c r="J44" t="s">
        <v>1457</v>
      </c>
      <c r="K44" s="402">
        <v>1224949</v>
      </c>
      <c r="L44" s="402">
        <v>1298211</v>
      </c>
      <c r="M44" s="402">
        <v>1399874</v>
      </c>
      <c r="N44" s="1517">
        <v>1545835</v>
      </c>
      <c r="O44" s="1517"/>
      <c r="Q44" s="402"/>
      <c r="R44" s="402"/>
      <c r="S44" s="402"/>
      <c r="T44" s="402"/>
      <c r="U44" s="402"/>
    </row>
    <row r="45" spans="1:29">
      <c r="J45" t="s">
        <v>1458</v>
      </c>
      <c r="K45" s="402">
        <v>1204701</v>
      </c>
      <c r="L45" s="402">
        <v>1200156</v>
      </c>
      <c r="M45" s="402">
        <v>1558294</v>
      </c>
      <c r="N45" s="1517">
        <v>1835124</v>
      </c>
      <c r="O45" s="1517"/>
      <c r="Q45" s="402"/>
      <c r="R45" s="402"/>
      <c r="S45" s="402"/>
      <c r="T45" s="402"/>
      <c r="U45" s="402"/>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65"/>
  <sheetViews>
    <sheetView workbookViewId="0">
      <selection sqref="A1:E35"/>
    </sheetView>
  </sheetViews>
  <sheetFormatPr defaultColWidth="11" defaultRowHeight="15.75"/>
  <cols>
    <col min="1" max="1" width="39.375" customWidth="1"/>
    <col min="2" max="2" width="11.375" bestFit="1" customWidth="1"/>
    <col min="3" max="3" width="11" customWidth="1"/>
    <col min="4" max="4" width="12.375" customWidth="1"/>
    <col min="5" max="5" width="13.125" customWidth="1"/>
    <col min="8" max="8" width="29.625" customWidth="1"/>
    <col min="9" max="9" width="18.125" customWidth="1"/>
    <col min="10" max="10" width="9.125" customWidth="1"/>
    <col min="11" max="11" width="16" customWidth="1"/>
    <col min="13" max="13" width="16.125" customWidth="1"/>
    <col min="15" max="15" width="16.875" customWidth="1"/>
    <col min="17" max="17" width="16.875" customWidth="1"/>
    <col min="19" max="19" width="6.375" customWidth="1"/>
    <col min="20" max="20" width="15.5" customWidth="1"/>
    <col min="22" max="22" width="5.875" customWidth="1"/>
    <col min="23" max="23" width="17.875" customWidth="1"/>
    <col min="27" max="27" width="15.375" customWidth="1"/>
    <col min="31" max="31" width="29.5" customWidth="1"/>
    <col min="32" max="32" width="14" customWidth="1"/>
  </cols>
  <sheetData>
    <row r="1" spans="1:34" ht="17.25">
      <c r="A1" s="169" t="s">
        <v>61</v>
      </c>
      <c r="H1" s="1457" t="s">
        <v>1428</v>
      </c>
      <c r="J1" s="57"/>
      <c r="L1" s="57"/>
      <c r="N1" s="57"/>
      <c r="P1" s="57"/>
    </row>
    <row r="2" spans="1:34">
      <c r="A2" s="169" t="s">
        <v>890</v>
      </c>
      <c r="B2" s="169"/>
      <c r="J2" s="57"/>
      <c r="L2" s="57"/>
      <c r="N2" s="57"/>
      <c r="P2" s="57"/>
    </row>
    <row r="3" spans="1:34">
      <c r="A3" s="169"/>
      <c r="B3" s="169"/>
      <c r="I3" s="1458">
        <v>2013</v>
      </c>
      <c r="J3" s="1459"/>
      <c r="K3" s="1460">
        <v>2014</v>
      </c>
      <c r="L3" s="1461"/>
      <c r="M3" s="1458">
        <v>2015</v>
      </c>
      <c r="N3" s="1459"/>
      <c r="O3" s="1460">
        <v>2016</v>
      </c>
      <c r="P3" s="1461"/>
      <c r="Q3" s="1458">
        <v>2017</v>
      </c>
      <c r="R3" s="210"/>
      <c r="T3" s="1460">
        <v>2018</v>
      </c>
      <c r="W3" s="1462">
        <v>2019</v>
      </c>
      <c r="Z3" t="s">
        <v>1429</v>
      </c>
    </row>
    <row r="4" spans="1:34">
      <c r="H4" s="14" t="s">
        <v>1430</v>
      </c>
      <c r="I4" s="1463">
        <v>36434134.276091166</v>
      </c>
      <c r="J4" s="568"/>
      <c r="K4" s="1464">
        <v>36104322.601829156</v>
      </c>
      <c r="L4" s="14"/>
      <c r="M4" s="1463">
        <v>38825392.572616845</v>
      </c>
      <c r="N4" s="568"/>
      <c r="O4" s="1464">
        <v>39213495.035329841</v>
      </c>
      <c r="P4" s="14"/>
      <c r="Q4" s="1463">
        <v>40029394.005223036</v>
      </c>
      <c r="R4" s="568"/>
      <c r="S4" s="14"/>
      <c r="T4" s="1465">
        <v>42380875.720018357</v>
      </c>
      <c r="U4" s="1465"/>
      <c r="V4" s="1465"/>
      <c r="W4" s="1466">
        <v>41705040.314787865</v>
      </c>
      <c r="X4" s="1467"/>
      <c r="Z4">
        <v>2017</v>
      </c>
      <c r="AA4" s="213">
        <v>1932233</v>
      </c>
    </row>
    <row r="5" spans="1:34">
      <c r="C5" s="1962" t="s">
        <v>1398</v>
      </c>
      <c r="D5" s="1962"/>
      <c r="E5" t="s">
        <v>1601</v>
      </c>
      <c r="H5" s="57" t="s">
        <v>1431</v>
      </c>
      <c r="I5" s="1468"/>
      <c r="J5" s="1468"/>
      <c r="K5" s="1415"/>
      <c r="L5" s="1415"/>
      <c r="M5" s="1468"/>
      <c r="N5" s="1468"/>
      <c r="O5" s="1415"/>
      <c r="P5" s="1415"/>
      <c r="Q5" s="1468"/>
      <c r="R5" s="569"/>
      <c r="S5" s="57"/>
      <c r="T5" s="1469">
        <v>2674868</v>
      </c>
      <c r="U5" s="1469"/>
      <c r="V5" s="1469"/>
      <c r="W5" s="1470">
        <v>1605208</v>
      </c>
      <c r="X5" s="1471"/>
      <c r="Z5">
        <v>2018</v>
      </c>
      <c r="AA5" s="213">
        <v>2674868</v>
      </c>
    </row>
    <row r="6" spans="1:34" ht="47.25">
      <c r="A6" s="1448" t="s">
        <v>1399</v>
      </c>
      <c r="B6" s="1449" t="s">
        <v>1400</v>
      </c>
      <c r="C6" s="1449" t="s">
        <v>1401</v>
      </c>
      <c r="D6" s="1449" t="s">
        <v>1402</v>
      </c>
      <c r="E6" s="1643" t="s">
        <v>1602</v>
      </c>
      <c r="H6" s="57" t="s">
        <v>1432</v>
      </c>
      <c r="I6" s="1468"/>
      <c r="J6" s="1468"/>
      <c r="K6" s="1415"/>
      <c r="L6" s="1415"/>
      <c r="M6" s="1468"/>
      <c r="N6" s="1468"/>
      <c r="O6" s="1415"/>
      <c r="P6" s="1415"/>
      <c r="Q6" s="1468"/>
      <c r="R6" s="569"/>
      <c r="S6" s="57"/>
      <c r="T6" s="1469"/>
      <c r="U6" s="1469"/>
      <c r="V6" s="1469"/>
      <c r="W6" s="1470">
        <v>800000</v>
      </c>
      <c r="X6" s="1471"/>
      <c r="Z6">
        <v>2019</v>
      </c>
      <c r="AA6" s="213">
        <v>1605208</v>
      </c>
    </row>
    <row r="7" spans="1:34">
      <c r="A7" t="s">
        <v>1403</v>
      </c>
      <c r="C7" s="1450">
        <v>0.08</v>
      </c>
      <c r="D7" s="1451">
        <f>C7*D$34</f>
        <v>3440000</v>
      </c>
      <c r="E7" s="1451">
        <f>C7*E$34</f>
        <v>3508800</v>
      </c>
      <c r="H7" s="15" t="s">
        <v>1433</v>
      </c>
      <c r="I7" s="1472"/>
      <c r="J7" s="1472"/>
      <c r="K7" s="1473"/>
      <c r="L7" s="1473"/>
      <c r="M7" s="1472"/>
      <c r="N7" s="1472"/>
      <c r="O7" s="1473"/>
      <c r="P7" s="1473"/>
      <c r="Q7" s="1472"/>
      <c r="R7" s="571"/>
      <c r="S7" s="15"/>
      <c r="T7" s="1474">
        <f>SUM(T4:T6)</f>
        <v>45055743.720018357</v>
      </c>
      <c r="U7" s="1474"/>
      <c r="V7" s="1474"/>
      <c r="W7" s="1475">
        <f>SUM(W4:W6)</f>
        <v>44110248.314787865</v>
      </c>
      <c r="X7" s="1476"/>
      <c r="Z7">
        <v>2020</v>
      </c>
      <c r="AA7" s="213">
        <v>3333154</v>
      </c>
    </row>
    <row r="8" spans="1:34" ht="16.5" thickBot="1">
      <c r="A8" t="s">
        <v>1404</v>
      </c>
      <c r="C8" s="1450">
        <v>0.04</v>
      </c>
      <c r="D8" s="1451">
        <f>C8*D$34</f>
        <v>1720000</v>
      </c>
      <c r="E8" s="1451">
        <f>C8*E$34</f>
        <v>1754400</v>
      </c>
      <c r="H8" s="146" t="s">
        <v>1434</v>
      </c>
      <c r="I8" s="1477">
        <v>36184529</v>
      </c>
      <c r="J8" s="1477"/>
      <c r="K8" s="1478">
        <v>35612371</v>
      </c>
      <c r="L8" s="1479"/>
      <c r="M8" s="1480">
        <v>37624685</v>
      </c>
      <c r="N8" s="1477"/>
      <c r="O8" s="1478">
        <v>39798608</v>
      </c>
      <c r="P8" s="1479"/>
      <c r="Q8" s="1480">
        <v>40523920</v>
      </c>
      <c r="R8" s="1481"/>
      <c r="S8" s="146"/>
      <c r="T8" s="1482">
        <v>44384505</v>
      </c>
      <c r="U8" s="1479"/>
      <c r="V8" s="1479"/>
      <c r="W8" s="1483"/>
      <c r="X8" s="1484"/>
      <c r="Z8">
        <v>2021</v>
      </c>
      <c r="AA8" s="213">
        <v>2055523</v>
      </c>
      <c r="AF8" s="1644" t="s">
        <v>1571</v>
      </c>
      <c r="AG8" t="s">
        <v>1438</v>
      </c>
      <c r="AH8" s="1645">
        <v>0.9</v>
      </c>
    </row>
    <row r="9" spans="1:34" ht="16.5" thickTop="1">
      <c r="A9" t="s">
        <v>1405</v>
      </c>
      <c r="B9" s="1452">
        <v>0.28497476643586178</v>
      </c>
      <c r="C9" s="1450">
        <v>0.31</v>
      </c>
      <c r="D9" s="1451">
        <f>C9*D$34</f>
        <v>13330000</v>
      </c>
      <c r="E9" s="1451">
        <f>C9*E$34</f>
        <v>13596600</v>
      </c>
      <c r="I9" s="210"/>
      <c r="J9" s="569"/>
      <c r="L9" s="57"/>
      <c r="M9" s="210"/>
      <c r="N9" s="569"/>
      <c r="P9" s="57"/>
      <c r="Q9" s="210"/>
      <c r="R9" s="210"/>
      <c r="W9" s="1485"/>
      <c r="X9" s="1485"/>
      <c r="Z9">
        <v>2022</v>
      </c>
      <c r="AA9" s="213">
        <v>1336402</v>
      </c>
      <c r="AE9" s="47" t="s">
        <v>71</v>
      </c>
    </row>
    <row r="10" spans="1:34">
      <c r="A10" t="s">
        <v>1406</v>
      </c>
      <c r="C10" s="16"/>
      <c r="I10" s="1458">
        <v>2013</v>
      </c>
      <c r="J10" s="1459"/>
      <c r="K10" s="1460">
        <v>2014</v>
      </c>
      <c r="L10" s="1461"/>
      <c r="M10" s="1458">
        <v>2015</v>
      </c>
      <c r="N10" s="1459"/>
      <c r="O10" s="1460">
        <v>2016</v>
      </c>
      <c r="P10" s="1461"/>
      <c r="Q10" s="1458">
        <v>2017</v>
      </c>
      <c r="R10" s="210"/>
      <c r="T10" s="1460">
        <v>2018</v>
      </c>
      <c r="U10" t="s">
        <v>1435</v>
      </c>
      <c r="W10" s="1462">
        <v>2019</v>
      </c>
      <c r="X10" s="1485"/>
      <c r="Z10">
        <v>2023</v>
      </c>
      <c r="AA10" s="213">
        <v>789396</v>
      </c>
      <c r="AE10" s="173" t="s">
        <v>72</v>
      </c>
      <c r="AF10" s="1213">
        <v>7400163.8033333337</v>
      </c>
      <c r="AG10" s="1453">
        <v>2436866.5300671696</v>
      </c>
      <c r="AH10" s="12">
        <v>2193000</v>
      </c>
    </row>
    <row r="11" spans="1:34">
      <c r="C11" s="16"/>
      <c r="H11" t="s">
        <v>325</v>
      </c>
      <c r="I11" s="1486">
        <v>0</v>
      </c>
      <c r="J11" s="1487">
        <f>I11/I$33</f>
        <v>0</v>
      </c>
      <c r="K11" s="402">
        <v>0</v>
      </c>
      <c r="L11" s="1488">
        <f>K11/K$33</f>
        <v>0</v>
      </c>
      <c r="M11" s="1486">
        <v>0</v>
      </c>
      <c r="N11" s="1487">
        <f>M11/M$33</f>
        <v>0</v>
      </c>
      <c r="O11" s="402">
        <v>24993.95</v>
      </c>
      <c r="P11" s="1488">
        <f>O11/O$33</f>
        <v>6.2801065616764097E-4</v>
      </c>
      <c r="Q11" s="1486">
        <v>25517.97</v>
      </c>
      <c r="R11" s="1487">
        <f>Q11/Q$33</f>
        <v>6.2970142094587623E-4</v>
      </c>
      <c r="T11" s="1489">
        <f>U11*T$4</f>
        <v>17767.646410571371</v>
      </c>
      <c r="U11" s="1488">
        <f>AVERAGE(N11,P11,R11)</f>
        <v>4.1923735903783905E-4</v>
      </c>
      <c r="W11" s="1490">
        <f>X11*W$4</f>
        <v>17484.310960138271</v>
      </c>
      <c r="X11" s="1491">
        <f>U11</f>
        <v>4.1923735903783905E-4</v>
      </c>
      <c r="Z11">
        <v>2024</v>
      </c>
      <c r="AA11" s="213">
        <v>90992</v>
      </c>
      <c r="AE11" s="49" t="s">
        <v>73</v>
      </c>
      <c r="AF11" s="1214">
        <v>18565.95</v>
      </c>
      <c r="AG11" s="1453">
        <v>6113.7487434428685</v>
      </c>
      <c r="AH11" s="12">
        <v>6000</v>
      </c>
    </row>
    <row r="12" spans="1:34">
      <c r="A12" t="s">
        <v>1407</v>
      </c>
      <c r="B12" s="1452">
        <v>5.7622793961301294E-2</v>
      </c>
      <c r="C12" s="16">
        <v>0.06</v>
      </c>
      <c r="D12" s="1453">
        <f t="shared" ref="D12:D22" si="0">C12*D$34</f>
        <v>2580000</v>
      </c>
      <c r="E12" s="1451">
        <f t="shared" ref="E12:E22" si="1">C12*E$34</f>
        <v>2631600</v>
      </c>
      <c r="H12" t="s">
        <v>332</v>
      </c>
      <c r="I12" s="1486">
        <v>0</v>
      </c>
      <c r="J12" s="1487">
        <f t="shared" ref="J12:L32" si="2">I12/I$33</f>
        <v>0</v>
      </c>
      <c r="K12" s="402">
        <v>0</v>
      </c>
      <c r="L12" s="1488">
        <f t="shared" si="2"/>
        <v>0</v>
      </c>
      <c r="M12" s="1486">
        <v>82258.87</v>
      </c>
      <c r="N12" s="1487">
        <f t="shared" ref="N12:N32" si="3">M12/M$33</f>
        <v>2.1863005647911474E-3</v>
      </c>
      <c r="O12" s="402">
        <v>175009.12</v>
      </c>
      <c r="P12" s="1488">
        <f t="shared" ref="P12:P32" si="4">O12/O$33</f>
        <v>4.3973678544816409E-3</v>
      </c>
      <c r="Q12" s="1486">
        <v>249899.41</v>
      </c>
      <c r="R12" s="1487">
        <f t="shared" ref="R12:R32" si="5">Q12/Q$33</f>
        <v>6.1667136363329888E-3</v>
      </c>
      <c r="T12" s="1489">
        <f t="shared" ref="T12:T32" si="6">U12*T$4</f>
        <v>180124.11909379356</v>
      </c>
      <c r="U12" s="1488">
        <f t="shared" ref="U12:U32" si="7">AVERAGE(N12,P12,R12)</f>
        <v>4.2501273518685927E-3</v>
      </c>
      <c r="W12" s="1490">
        <f t="shared" ref="W12:W32" si="8">X12*W$4</f>
        <v>177251.73255266226</v>
      </c>
      <c r="X12" s="1491">
        <f t="shared" ref="X12:X32" si="9">U12</f>
        <v>4.2501273518685927E-3</v>
      </c>
      <c r="Z12" t="s">
        <v>180</v>
      </c>
      <c r="AA12" s="213">
        <f>SUM(AA4:AA11)</f>
        <v>13817776</v>
      </c>
      <c r="AE12" s="172" t="s">
        <v>74</v>
      </c>
      <c r="AF12" s="1214">
        <v>8927631.1766666677</v>
      </c>
      <c r="AG12" s="1453">
        <v>2939860.0065317</v>
      </c>
      <c r="AH12" s="12">
        <v>2646000</v>
      </c>
    </row>
    <row r="13" spans="1:34">
      <c r="A13" t="s">
        <v>326</v>
      </c>
      <c r="B13" s="1452">
        <v>2.0666499550487851E-2</v>
      </c>
      <c r="C13" s="16">
        <v>0</v>
      </c>
      <c r="D13">
        <f t="shared" si="0"/>
        <v>0</v>
      </c>
      <c r="E13" s="1451">
        <f t="shared" si="1"/>
        <v>0</v>
      </c>
      <c r="H13" t="s">
        <v>337</v>
      </c>
      <c r="I13" s="1486">
        <v>55860.93</v>
      </c>
      <c r="J13" s="1487">
        <f t="shared" si="2"/>
        <v>1.5437793755220515E-3</v>
      </c>
      <c r="K13" s="402">
        <v>47761.5</v>
      </c>
      <c r="L13" s="1488">
        <f t="shared" si="2"/>
        <v>1.3411491030267512E-3</v>
      </c>
      <c r="M13" s="1486">
        <v>47377.23</v>
      </c>
      <c r="N13" s="1487">
        <f t="shared" si="3"/>
        <v>1.2592060249215691E-3</v>
      </c>
      <c r="O13" s="402">
        <v>32829.54</v>
      </c>
      <c r="P13" s="1488">
        <f t="shared" si="4"/>
        <v>8.248916620654924E-4</v>
      </c>
      <c r="Q13" s="1486">
        <v>23061.200000000001</v>
      </c>
      <c r="R13" s="1487">
        <f t="shared" si="5"/>
        <v>5.6907623955655727E-4</v>
      </c>
      <c r="T13" s="1489">
        <f t="shared" si="6"/>
        <v>37481.278148146077</v>
      </c>
      <c r="U13" s="1488">
        <f t="shared" si="7"/>
        <v>8.8439130884787295E-4</v>
      </c>
      <c r="W13" s="1490">
        <f t="shared" si="8"/>
        <v>36883.575189548545</v>
      </c>
      <c r="X13" s="1491">
        <f t="shared" si="9"/>
        <v>8.8439130884787295E-4</v>
      </c>
      <c r="Z13" t="s">
        <v>1436</v>
      </c>
      <c r="AA13" s="213">
        <v>2613067</v>
      </c>
      <c r="AE13" s="173" t="s">
        <v>75</v>
      </c>
      <c r="AF13" s="1213">
        <v>1780797.6333333335</v>
      </c>
      <c r="AG13" s="1453">
        <v>586414.87740286405</v>
      </c>
      <c r="AH13" s="12">
        <v>528000</v>
      </c>
    </row>
    <row r="14" spans="1:34">
      <c r="A14" t="s">
        <v>332</v>
      </c>
      <c r="B14" s="1452">
        <v>8.6497409068619895E-3</v>
      </c>
      <c r="C14" s="16">
        <v>0</v>
      </c>
      <c r="D14">
        <f t="shared" si="0"/>
        <v>0</v>
      </c>
      <c r="E14" s="1451">
        <f t="shared" si="1"/>
        <v>0</v>
      </c>
      <c r="H14" t="s">
        <v>349</v>
      </c>
      <c r="I14" s="1486">
        <v>4183.84</v>
      </c>
      <c r="J14" s="1487">
        <f t="shared" si="2"/>
        <v>1.1562510510448323E-4</v>
      </c>
      <c r="K14" s="402">
        <v>5770.16</v>
      </c>
      <c r="L14" s="1488">
        <f t="shared" si="2"/>
        <v>1.620268397835252E-4</v>
      </c>
      <c r="M14" s="1486">
        <v>13865.65</v>
      </c>
      <c r="N14" s="1487">
        <f t="shared" si="3"/>
        <v>3.6852534475852118E-4</v>
      </c>
      <c r="O14" s="402">
        <v>19983.46</v>
      </c>
      <c r="P14" s="1488">
        <f t="shared" si="4"/>
        <v>5.0211454480383476E-4</v>
      </c>
      <c r="Q14" s="1486">
        <v>19293.400000000001</v>
      </c>
      <c r="R14" s="1487">
        <f t="shared" si="5"/>
        <v>4.7609905470055687E-4</v>
      </c>
      <c r="T14" s="1489">
        <f t="shared" si="6"/>
        <v>19025.325274705079</v>
      </c>
      <c r="U14" s="1488">
        <f t="shared" si="7"/>
        <v>4.489129814209709E-4</v>
      </c>
      <c r="W14" s="1490">
        <f t="shared" si="8"/>
        <v>18721.933987993209</v>
      </c>
      <c r="X14" s="1491">
        <f t="shared" si="9"/>
        <v>4.489129814209709E-4</v>
      </c>
      <c r="Z14" t="s">
        <v>13</v>
      </c>
      <c r="AA14" s="185">
        <f>SUM(AA12:AA13)</f>
        <v>16430843</v>
      </c>
      <c r="AE14" s="49" t="s">
        <v>76</v>
      </c>
      <c r="AF14" s="1214">
        <v>3534127.74</v>
      </c>
      <c r="AG14" s="1453">
        <v>1163784.7257798058</v>
      </c>
      <c r="AH14" s="12">
        <v>1047000</v>
      </c>
    </row>
    <row r="15" spans="1:34">
      <c r="A15" t="s">
        <v>337</v>
      </c>
      <c r="B15" s="1452">
        <v>2.3805099378366668E-2</v>
      </c>
      <c r="C15" s="16">
        <v>0</v>
      </c>
      <c r="D15">
        <f t="shared" si="0"/>
        <v>0</v>
      </c>
      <c r="E15" s="1451">
        <f t="shared" si="1"/>
        <v>0</v>
      </c>
      <c r="H15" t="s">
        <v>145</v>
      </c>
      <c r="I15" s="1486">
        <v>0</v>
      </c>
      <c r="J15" s="1487">
        <f t="shared" si="2"/>
        <v>0</v>
      </c>
      <c r="K15" s="402">
        <v>32573.22</v>
      </c>
      <c r="L15" s="1488">
        <f t="shared" si="2"/>
        <v>9.1466023440832118E-4</v>
      </c>
      <c r="M15" s="1486">
        <v>54464.51</v>
      </c>
      <c r="N15" s="1487">
        <f t="shared" si="3"/>
        <v>1.4475738479518758E-3</v>
      </c>
      <c r="O15" s="402">
        <v>74325.100000000006</v>
      </c>
      <c r="P15" s="1488">
        <f t="shared" si="4"/>
        <v>1.8675301351217207E-3</v>
      </c>
      <c r="Q15" s="1486">
        <v>9507.2099999999991</v>
      </c>
      <c r="R15" s="1487">
        <f t="shared" si="5"/>
        <v>2.3460736282042983E-4</v>
      </c>
      <c r="T15" s="1489">
        <f t="shared" si="6"/>
        <v>50146.625130757937</v>
      </c>
      <c r="U15" s="1488">
        <f t="shared" si="7"/>
        <v>1.1832371152980087E-3</v>
      </c>
      <c r="W15" s="1490">
        <f t="shared" si="8"/>
        <v>49346.951595456754</v>
      </c>
      <c r="X15" s="1491">
        <f t="shared" si="9"/>
        <v>1.1832371152980087E-3</v>
      </c>
      <c r="AE15" s="172" t="s">
        <v>77</v>
      </c>
      <c r="AF15" s="1214">
        <v>89748.720000000016</v>
      </c>
      <c r="AG15" s="1453">
        <v>29554.163623493867</v>
      </c>
      <c r="AH15" s="12">
        <v>27000</v>
      </c>
    </row>
    <row r="16" spans="1:34">
      <c r="A16" t="s">
        <v>145</v>
      </c>
      <c r="B16" s="1452">
        <v>5.9710478753239531E-2</v>
      </c>
      <c r="C16" s="16">
        <v>0.06</v>
      </c>
      <c r="D16" s="1453">
        <f t="shared" si="0"/>
        <v>2580000</v>
      </c>
      <c r="E16" s="1451">
        <f t="shared" si="1"/>
        <v>2631600</v>
      </c>
      <c r="H16" t="s">
        <v>353</v>
      </c>
      <c r="I16" s="1486">
        <v>87662.05</v>
      </c>
      <c r="J16" s="1487">
        <f t="shared" si="2"/>
        <v>2.4226389500852001E-3</v>
      </c>
      <c r="K16" s="402">
        <v>82488.87</v>
      </c>
      <c r="L16" s="1488">
        <f t="shared" si="2"/>
        <v>2.3162981483033462E-3</v>
      </c>
      <c r="M16" s="1486">
        <v>92924.18</v>
      </c>
      <c r="N16" s="1487">
        <f t="shared" si="3"/>
        <v>2.469766326923215E-3</v>
      </c>
      <c r="O16" s="402">
        <v>91939.41</v>
      </c>
      <c r="P16" s="1488">
        <f t="shared" si="4"/>
        <v>2.31011621619495E-3</v>
      </c>
      <c r="Q16" s="1486">
        <v>87016.38</v>
      </c>
      <c r="R16" s="1487">
        <f t="shared" si="5"/>
        <v>2.1472843698603899E-3</v>
      </c>
      <c r="T16" s="1489">
        <f t="shared" si="6"/>
        <v>97859.800010255785</v>
      </c>
      <c r="U16" s="1488">
        <f t="shared" si="7"/>
        <v>2.3090556376595185E-3</v>
      </c>
      <c r="W16" s="1490">
        <f t="shared" si="8"/>
        <v>96299.258457678414</v>
      </c>
      <c r="X16" s="1491">
        <f t="shared" si="9"/>
        <v>2.3090556376595185E-3</v>
      </c>
      <c r="AE16" s="173" t="s">
        <v>78</v>
      </c>
      <c r="AF16" s="1213">
        <v>370146.77666666667</v>
      </c>
      <c r="AG16" s="1453">
        <v>121888.96289903083</v>
      </c>
      <c r="AH16" s="12">
        <v>110000</v>
      </c>
    </row>
    <row r="17" spans="1:34">
      <c r="A17" t="s">
        <v>14</v>
      </c>
      <c r="B17" s="1452">
        <v>1.1608073377693916E-2</v>
      </c>
      <c r="C17" s="16">
        <v>0.01</v>
      </c>
      <c r="D17" s="1453">
        <f t="shared" si="0"/>
        <v>430000</v>
      </c>
      <c r="E17" s="1451">
        <f t="shared" si="1"/>
        <v>438600</v>
      </c>
      <c r="H17" t="s">
        <v>359</v>
      </c>
      <c r="I17" s="1486">
        <v>4448459.2300000004</v>
      </c>
      <c r="J17" s="1487">
        <f t="shared" si="2"/>
        <v>0.12293815394990214</v>
      </c>
      <c r="K17" s="402">
        <v>4316658.5</v>
      </c>
      <c r="L17" s="1488">
        <f t="shared" si="2"/>
        <v>0.12121232949860873</v>
      </c>
      <c r="M17" s="1486">
        <v>3889160.63</v>
      </c>
      <c r="N17" s="1487">
        <f t="shared" si="3"/>
        <v>0.10336726096447101</v>
      </c>
      <c r="O17" s="402">
        <v>4110062.09</v>
      </c>
      <c r="P17" s="1488">
        <f t="shared" si="4"/>
        <v>0.10327150330502563</v>
      </c>
      <c r="Q17" s="1486">
        <v>4497872.17</v>
      </c>
      <c r="R17" s="1487">
        <f t="shared" si="5"/>
        <v>0.11099301773150104</v>
      </c>
      <c r="T17" s="1489">
        <f t="shared" si="6"/>
        <v>4487171.0259040818</v>
      </c>
      <c r="U17" s="1488">
        <f t="shared" si="7"/>
        <v>0.10587726066699922</v>
      </c>
      <c r="W17" s="1490">
        <f t="shared" si="8"/>
        <v>4415615.4245365057</v>
      </c>
      <c r="X17" s="1491">
        <f t="shared" si="9"/>
        <v>0.10587726066699922</v>
      </c>
      <c r="AE17" s="172" t="s">
        <v>79</v>
      </c>
      <c r="AF17" s="1214">
        <v>9456764.9900000002</v>
      </c>
      <c r="AG17" s="1453">
        <v>3114103.2413987443</v>
      </c>
      <c r="AH17" s="12">
        <v>2803000</v>
      </c>
    </row>
    <row r="18" spans="1:34">
      <c r="A18" t="s">
        <v>1408</v>
      </c>
      <c r="B18" s="1452">
        <v>8.0943331864960222E-2</v>
      </c>
      <c r="C18" s="16">
        <v>0.08</v>
      </c>
      <c r="D18" s="1453">
        <f t="shared" si="0"/>
        <v>3440000</v>
      </c>
      <c r="E18" s="1451">
        <f t="shared" si="1"/>
        <v>3508800</v>
      </c>
      <c r="H18" t="s">
        <v>58</v>
      </c>
      <c r="I18" s="1486">
        <v>36917.550000000003</v>
      </c>
      <c r="J18" s="1487">
        <f t="shared" si="2"/>
        <v>1.0202578489975753E-3</v>
      </c>
      <c r="K18" s="402">
        <v>58661.31</v>
      </c>
      <c r="L18" s="1488">
        <f t="shared" si="2"/>
        <v>1.6472171788757511E-3</v>
      </c>
      <c r="M18" s="1486">
        <v>46730.59</v>
      </c>
      <c r="N18" s="1487">
        <f t="shared" si="3"/>
        <v>1.2420194358374185E-3</v>
      </c>
      <c r="O18" s="402">
        <v>36629.440000000002</v>
      </c>
      <c r="P18" s="1488">
        <f t="shared" si="4"/>
        <v>9.2036987548799751E-4</v>
      </c>
      <c r="Q18" s="1486">
        <v>72099.08</v>
      </c>
      <c r="R18" s="1487">
        <f t="shared" si="5"/>
        <v>1.7791733874164132E-3</v>
      </c>
      <c r="T18" s="1489">
        <f t="shared" si="6"/>
        <v>55682.292959345876</v>
      </c>
      <c r="U18" s="1488">
        <f t="shared" si="7"/>
        <v>1.3138542329139431E-3</v>
      </c>
      <c r="W18" s="1490">
        <f t="shared" si="8"/>
        <v>54794.343751430679</v>
      </c>
      <c r="X18" s="1491">
        <f t="shared" si="9"/>
        <v>1.3138542329139431E-3</v>
      </c>
      <c r="AE18" s="172" t="s">
        <v>80</v>
      </c>
      <c r="AF18" s="1215">
        <v>965278.69666666666</v>
      </c>
      <c r="AG18" s="1453">
        <v>317865.30820227368</v>
      </c>
      <c r="AH18" s="12">
        <v>286000</v>
      </c>
    </row>
    <row r="19" spans="1:34">
      <c r="A19" t="s">
        <v>1409</v>
      </c>
      <c r="B19" s="1452">
        <v>7.2750531109423144E-2</v>
      </c>
      <c r="C19" s="16">
        <v>0.04</v>
      </c>
      <c r="D19" s="1453">
        <f t="shared" si="0"/>
        <v>1720000</v>
      </c>
      <c r="E19" s="1451">
        <f t="shared" si="1"/>
        <v>1754400</v>
      </c>
      <c r="H19" t="s">
        <v>366</v>
      </c>
      <c r="I19" s="1486">
        <v>2590.7600000000002</v>
      </c>
      <c r="J19" s="1487">
        <f t="shared" si="2"/>
        <v>7.1598554748864915E-5</v>
      </c>
      <c r="K19" s="402">
        <v>-109.57</v>
      </c>
      <c r="L19" s="1488">
        <f t="shared" si="2"/>
        <v>-3.0767397845260536E-6</v>
      </c>
      <c r="M19" s="1486">
        <v>0</v>
      </c>
      <c r="N19" s="1487">
        <f t="shared" si="3"/>
        <v>0</v>
      </c>
      <c r="O19" s="402">
        <v>0</v>
      </c>
      <c r="P19" s="1488">
        <f t="shared" si="4"/>
        <v>0</v>
      </c>
      <c r="Q19" s="1486">
        <v>0</v>
      </c>
      <c r="R19" s="1487">
        <f t="shared" si="5"/>
        <v>0</v>
      </c>
      <c r="T19" s="1489">
        <f t="shared" si="6"/>
        <v>0</v>
      </c>
      <c r="U19" s="1488">
        <f t="shared" si="7"/>
        <v>0</v>
      </c>
      <c r="W19" s="1490">
        <f t="shared" si="8"/>
        <v>0</v>
      </c>
      <c r="X19" s="1491">
        <f t="shared" si="9"/>
        <v>0</v>
      </c>
      <c r="AE19" s="173" t="s">
        <v>81</v>
      </c>
      <c r="AF19" s="1213">
        <v>3199887.8333333335</v>
      </c>
      <c r="AG19" s="1453">
        <v>1053719.8592153804</v>
      </c>
      <c r="AH19" s="12">
        <v>948000</v>
      </c>
    </row>
    <row r="20" spans="1:34">
      <c r="A20" t="s">
        <v>1410</v>
      </c>
      <c r="B20" s="1452">
        <v>3.4020837763129915E-3</v>
      </c>
      <c r="C20" s="16">
        <v>0</v>
      </c>
      <c r="D20" s="1453">
        <f t="shared" si="0"/>
        <v>0</v>
      </c>
      <c r="E20" s="1451">
        <f t="shared" si="1"/>
        <v>0</v>
      </c>
      <c r="H20" t="s">
        <v>491</v>
      </c>
      <c r="I20" s="1486">
        <v>58105.01</v>
      </c>
      <c r="J20" s="1487">
        <f t="shared" si="2"/>
        <v>1.6057970401227219E-3</v>
      </c>
      <c r="K20" s="402">
        <v>133095.32</v>
      </c>
      <c r="L20" s="1488">
        <f t="shared" si="2"/>
        <v>3.7373338156267795E-3</v>
      </c>
      <c r="M20" s="1486">
        <v>133672.81</v>
      </c>
      <c r="N20" s="1487">
        <f t="shared" si="3"/>
        <v>3.5527954614526041E-3</v>
      </c>
      <c r="O20" s="402">
        <v>189298.26</v>
      </c>
      <c r="P20" s="1488">
        <f t="shared" si="4"/>
        <v>4.7564040287346619E-3</v>
      </c>
      <c r="Q20" s="1486">
        <v>184612.1</v>
      </c>
      <c r="R20" s="1487">
        <f t="shared" si="5"/>
        <v>4.5556328224307108E-3</v>
      </c>
      <c r="T20" s="1489">
        <f t="shared" si="6"/>
        <v>181740.95313331293</v>
      </c>
      <c r="U20" s="1488">
        <f t="shared" si="7"/>
        <v>4.2882774375393251E-3</v>
      </c>
      <c r="W20" s="1490">
        <f t="shared" si="8"/>
        <v>178842.78341357276</v>
      </c>
      <c r="X20" s="1491">
        <f t="shared" si="9"/>
        <v>4.2882774375393251E-3</v>
      </c>
      <c r="AE20" s="172" t="s">
        <v>82</v>
      </c>
      <c r="AF20" s="1215">
        <v>707067</v>
      </c>
      <c r="AG20" s="1453">
        <v>232836.45505777613</v>
      </c>
      <c r="AH20" s="12">
        <v>210000</v>
      </c>
    </row>
    <row r="21" spans="1:34">
      <c r="A21" t="s">
        <v>1411</v>
      </c>
      <c r="B21" s="1452">
        <v>4.4792491717834608E-2</v>
      </c>
      <c r="C21" s="16">
        <v>0.04</v>
      </c>
      <c r="D21" s="1453">
        <f t="shared" si="0"/>
        <v>1720000</v>
      </c>
      <c r="E21" s="1451">
        <f t="shared" si="1"/>
        <v>1754400</v>
      </c>
      <c r="H21" t="s">
        <v>1437</v>
      </c>
      <c r="I21" s="1486">
        <v>8074838.71</v>
      </c>
      <c r="J21" s="1487">
        <f t="shared" si="2"/>
        <v>0.22315721312131911</v>
      </c>
      <c r="K21" s="402">
        <v>7648538.4800000004</v>
      </c>
      <c r="L21" s="1488">
        <f t="shared" si="2"/>
        <v>0.21477195066984059</v>
      </c>
      <c r="M21" s="1486">
        <v>7574918.2300000004</v>
      </c>
      <c r="N21" s="1487">
        <f t="shared" si="3"/>
        <v>0.20132841606620369</v>
      </c>
      <c r="O21" s="402">
        <v>7473341.4000000004</v>
      </c>
      <c r="P21" s="1488">
        <f t="shared" si="4"/>
        <v>0.18777896396443125</v>
      </c>
      <c r="Q21" s="1486">
        <v>7190763.9500000002</v>
      </c>
      <c r="R21" s="1487">
        <f t="shared" si="5"/>
        <v>0.17744492516455587</v>
      </c>
      <c r="T21" s="1489">
        <f t="shared" si="6"/>
        <v>8003660.945122432</v>
      </c>
      <c r="U21" s="1488">
        <f t="shared" si="7"/>
        <v>0.18885076839839696</v>
      </c>
      <c r="W21" s="1490">
        <f t="shared" si="8"/>
        <v>7876028.9095338108</v>
      </c>
      <c r="X21" s="1491">
        <f t="shared" si="9"/>
        <v>0.18885076839839696</v>
      </c>
      <c r="AE21" s="172" t="s">
        <v>83</v>
      </c>
      <c r="AF21" s="1214"/>
    </row>
    <row r="22" spans="1:34">
      <c r="A22" t="s">
        <v>366</v>
      </c>
      <c r="B22" s="1452">
        <v>7.4508899458826322E-3</v>
      </c>
      <c r="C22" s="16">
        <v>0</v>
      </c>
      <c r="D22" s="1453">
        <f t="shared" si="0"/>
        <v>0</v>
      </c>
      <c r="E22" s="1451">
        <f t="shared" si="1"/>
        <v>0</v>
      </c>
      <c r="H22" t="s">
        <v>1</v>
      </c>
      <c r="I22" s="1486">
        <v>499557.58</v>
      </c>
      <c r="J22" s="1487">
        <f t="shared" si="2"/>
        <v>1.3805833323750738E-2</v>
      </c>
      <c r="K22" s="402">
        <v>556290.78</v>
      </c>
      <c r="L22" s="1488">
        <f t="shared" si="2"/>
        <v>1.5620717117742362E-2</v>
      </c>
      <c r="M22" s="1486">
        <v>548946.14</v>
      </c>
      <c r="N22" s="1487">
        <f t="shared" si="3"/>
        <v>1.4590052792141692E-2</v>
      </c>
      <c r="O22" s="402">
        <v>504002.62</v>
      </c>
      <c r="P22" s="1488">
        <f t="shared" si="4"/>
        <v>1.2663825289576484E-2</v>
      </c>
      <c r="Q22" s="1486">
        <v>774357.55</v>
      </c>
      <c r="R22" s="1487">
        <f t="shared" si="5"/>
        <v>1.9108653609796054E-2</v>
      </c>
      <c r="T22" s="1489">
        <f t="shared" si="6"/>
        <v>654961.56456115912</v>
      </c>
      <c r="U22" s="1488">
        <f t="shared" si="7"/>
        <v>1.5454177230504745E-2</v>
      </c>
      <c r="W22" s="1490">
        <f t="shared" si="8"/>
        <v>644517.08443007711</v>
      </c>
      <c r="X22" s="1491">
        <f t="shared" si="9"/>
        <v>1.5454177230504745E-2</v>
      </c>
      <c r="AE22" s="173" t="s">
        <v>84</v>
      </c>
      <c r="AF22" s="1213"/>
    </row>
    <row r="23" spans="1:34">
      <c r="C23" s="16"/>
      <c r="H23" t="s">
        <v>2</v>
      </c>
      <c r="I23" s="1486">
        <v>1738840.32</v>
      </c>
      <c r="J23" s="1487">
        <f t="shared" si="2"/>
        <v>4.8054800078376148E-2</v>
      </c>
      <c r="K23" s="402">
        <v>1726175.09</v>
      </c>
      <c r="L23" s="1488">
        <f t="shared" si="2"/>
        <v>4.8471219991428692E-2</v>
      </c>
      <c r="M23" s="1486">
        <v>1760647.06</v>
      </c>
      <c r="N23" s="1487">
        <f t="shared" si="3"/>
        <v>4.679499805523555E-2</v>
      </c>
      <c r="O23" s="402">
        <v>1949666.61</v>
      </c>
      <c r="P23" s="1488">
        <f t="shared" si="4"/>
        <v>4.8988311453541364E-2</v>
      </c>
      <c r="Q23" s="1486">
        <v>1689327.9</v>
      </c>
      <c r="R23" s="1487">
        <f t="shared" si="5"/>
        <v>4.1687178841949932E-2</v>
      </c>
      <c r="T23" s="1489">
        <f t="shared" si="6"/>
        <v>1942039.8939874619</v>
      </c>
      <c r="U23" s="1488">
        <f t="shared" si="7"/>
        <v>4.5823496116908946E-2</v>
      </c>
      <c r="W23" s="1490">
        <f t="shared" si="8"/>
        <v>1911070.7529202127</v>
      </c>
      <c r="X23" s="1491">
        <f t="shared" si="9"/>
        <v>4.5823496116908946E-2</v>
      </c>
      <c r="AE23" s="49" t="s">
        <v>86</v>
      </c>
      <c r="AF23" s="1216"/>
    </row>
    <row r="24" spans="1:34">
      <c r="A24" t="s">
        <v>1412</v>
      </c>
      <c r="C24" s="16"/>
      <c r="H24" t="s">
        <v>17</v>
      </c>
      <c r="I24" s="1486">
        <v>140596.9</v>
      </c>
      <c r="J24" s="1487">
        <f t="shared" si="2"/>
        <v>3.8855528270355742E-3</v>
      </c>
      <c r="K24" s="402">
        <v>95130.93</v>
      </c>
      <c r="L24" s="1488">
        <f t="shared" si="2"/>
        <v>2.6712888296975732E-3</v>
      </c>
      <c r="M24" s="1486">
        <v>146239.32</v>
      </c>
      <c r="N24" s="1487">
        <f t="shared" si="3"/>
        <v>3.8867918792304511E-3</v>
      </c>
      <c r="O24" s="402">
        <v>306106.51</v>
      </c>
      <c r="P24" s="1488">
        <f t="shared" si="4"/>
        <v>7.6913873238238272E-3</v>
      </c>
      <c r="Q24" s="1486">
        <v>427718.36</v>
      </c>
      <c r="R24" s="1487">
        <f t="shared" si="5"/>
        <v>1.0554713366958257E-2</v>
      </c>
      <c r="T24" s="1489">
        <f t="shared" si="6"/>
        <v>312670.45644473966</v>
      </c>
      <c r="U24" s="1488">
        <f t="shared" si="7"/>
        <v>7.3776308566708458E-3</v>
      </c>
      <c r="W24" s="1490">
        <f t="shared" si="8"/>
        <v>307684.39230508055</v>
      </c>
      <c r="X24" s="1491">
        <f t="shared" si="9"/>
        <v>7.3776308566708458E-3</v>
      </c>
      <c r="AE24" s="172" t="s">
        <v>87</v>
      </c>
      <c r="AF24" s="1217"/>
    </row>
    <row r="25" spans="1:34">
      <c r="A25" s="344" t="s">
        <v>1413</v>
      </c>
      <c r="B25" s="1452">
        <v>0.19647033808207526</v>
      </c>
      <c r="C25" s="16">
        <v>0.11</v>
      </c>
      <c r="D25" s="1453">
        <f>C25*D$34</f>
        <v>4730000</v>
      </c>
      <c r="E25" s="1451">
        <f>C25*E$34</f>
        <v>4824600</v>
      </c>
      <c r="H25" t="s">
        <v>4</v>
      </c>
      <c r="I25" s="1486">
        <v>3418431.62</v>
      </c>
      <c r="J25" s="1487">
        <f t="shared" si="2"/>
        <v>9.4472187118768605E-2</v>
      </c>
      <c r="K25" s="402">
        <v>2859034.74</v>
      </c>
      <c r="L25" s="1488">
        <f t="shared" si="2"/>
        <v>8.0282065619239784E-2</v>
      </c>
      <c r="M25" s="1486">
        <v>2868546.2</v>
      </c>
      <c r="N25" s="1487">
        <f t="shared" si="3"/>
        <v>7.6241068922895491E-2</v>
      </c>
      <c r="O25" s="402">
        <v>3049500.14</v>
      </c>
      <c r="P25" s="1488">
        <f t="shared" si="4"/>
        <v>7.6623286191446843E-2</v>
      </c>
      <c r="Q25" s="1486">
        <v>3075135.3</v>
      </c>
      <c r="R25" s="1487">
        <f t="shared" si="5"/>
        <v>7.5884448018820591E-2</v>
      </c>
      <c r="T25" s="1489">
        <f t="shared" si="6"/>
        <v>3231524.8655631747</v>
      </c>
      <c r="U25" s="1488">
        <f t="shared" si="7"/>
        <v>7.6249601044387647E-2</v>
      </c>
      <c r="W25" s="1490">
        <f t="shared" si="8"/>
        <v>3179992.6855426775</v>
      </c>
      <c r="X25" s="1491">
        <f t="shared" si="9"/>
        <v>7.6249601044387647E-2</v>
      </c>
      <c r="AE25" s="359" t="s">
        <v>452</v>
      </c>
      <c r="AF25" s="1218">
        <v>0</v>
      </c>
    </row>
    <row r="26" spans="1:34">
      <c r="A26" s="344" t="s">
        <v>1414</v>
      </c>
      <c r="B26" s="1452">
        <v>2.1263023601956199E-2</v>
      </c>
      <c r="C26" s="16">
        <v>0.02</v>
      </c>
      <c r="D26" s="1453">
        <f>C26*D$34</f>
        <v>860000</v>
      </c>
      <c r="E26" s="1451">
        <f>C26*E$34</f>
        <v>877200</v>
      </c>
      <c r="H26" t="s">
        <v>5</v>
      </c>
      <c r="I26" s="1486">
        <v>7962627.5499999998</v>
      </c>
      <c r="J26" s="1487">
        <f t="shared" si="2"/>
        <v>0.22005613201666502</v>
      </c>
      <c r="K26" s="402">
        <v>8649026.9299999997</v>
      </c>
      <c r="L26" s="1488">
        <f t="shared" si="2"/>
        <v>0.24286579586536677</v>
      </c>
      <c r="M26" s="1486">
        <v>8426521.6400000006</v>
      </c>
      <c r="N26" s="1487">
        <f t="shared" si="3"/>
        <v>0.22396258325402268</v>
      </c>
      <c r="O26" s="402">
        <v>8919188.4100000001</v>
      </c>
      <c r="P26" s="1488">
        <f t="shared" si="4"/>
        <v>0.22410804878168189</v>
      </c>
      <c r="Q26" s="1486">
        <v>8586621.6999999993</v>
      </c>
      <c r="R26" s="1487">
        <f t="shared" si="5"/>
        <v>0.21189020465243494</v>
      </c>
      <c r="T26" s="1489">
        <f>U26*T$4+1*(T5+T6)</f>
        <v>11998107.399919791</v>
      </c>
      <c r="U26" s="1488">
        <f t="shared" si="7"/>
        <v>0.21998694556271317</v>
      </c>
      <c r="W26" s="1490">
        <f>X26*W$4+1*(W5+W6)</f>
        <v>11579772.433419997</v>
      </c>
      <c r="X26" s="1491">
        <f t="shared" si="9"/>
        <v>0.21998694556271317</v>
      </c>
      <c r="AE26" s="358" t="s">
        <v>453</v>
      </c>
      <c r="AF26" s="1216"/>
    </row>
    <row r="27" spans="1:34">
      <c r="A27" s="344" t="s">
        <v>388</v>
      </c>
      <c r="B27" s="344"/>
      <c r="C27" s="16">
        <v>0.1</v>
      </c>
      <c r="D27" s="1453">
        <f>C27*D$34</f>
        <v>4300000</v>
      </c>
      <c r="E27" s="1451">
        <f>C27*E$34</f>
        <v>4386000</v>
      </c>
      <c r="H27" t="s">
        <v>6</v>
      </c>
      <c r="I27" s="1486">
        <v>123123.94</v>
      </c>
      <c r="J27" s="1487">
        <f t="shared" si="2"/>
        <v>3.4026680043639543E-3</v>
      </c>
      <c r="K27" s="402">
        <v>179324.75</v>
      </c>
      <c r="L27" s="1488">
        <f t="shared" si="2"/>
        <v>5.0354621947174272E-3</v>
      </c>
      <c r="M27" s="1486">
        <v>31335.22</v>
      </c>
      <c r="N27" s="1487">
        <f t="shared" si="3"/>
        <v>8.3283674069258267E-4</v>
      </c>
      <c r="O27" s="402">
        <v>29004.91</v>
      </c>
      <c r="P27" s="1488">
        <f t="shared" si="4"/>
        <v>7.2879207012830586E-4</v>
      </c>
      <c r="Q27" s="1486">
        <v>14257.68</v>
      </c>
      <c r="R27" s="1487">
        <f t="shared" si="5"/>
        <v>3.5183368251438498E-4</v>
      </c>
      <c r="T27" s="1489">
        <f t="shared" si="6"/>
        <v>27031.405374986229</v>
      </c>
      <c r="U27" s="1488">
        <f t="shared" si="7"/>
        <v>6.3782083111175785E-4</v>
      </c>
      <c r="W27" s="1490">
        <f t="shared" si="8"/>
        <v>26600.343475127363</v>
      </c>
      <c r="X27" s="1491">
        <f t="shared" si="9"/>
        <v>6.3782083111175785E-4</v>
      </c>
      <c r="AE27" s="172" t="s">
        <v>88</v>
      </c>
      <c r="AF27" s="1217">
        <v>0</v>
      </c>
    </row>
    <row r="28" spans="1:34">
      <c r="C28" s="16"/>
      <c r="H28" t="s">
        <v>7</v>
      </c>
      <c r="I28" s="1486">
        <v>6178326.5</v>
      </c>
      <c r="J28" s="1487">
        <f t="shared" si="2"/>
        <v>0.17074497373998862</v>
      </c>
      <c r="K28" s="402">
        <v>6426678.0899999999</v>
      </c>
      <c r="L28" s="1488">
        <f t="shared" si="2"/>
        <v>0.18046195274112359</v>
      </c>
      <c r="M28" s="1486">
        <v>8045682.8099999996</v>
      </c>
      <c r="N28" s="1487">
        <f t="shared" si="3"/>
        <v>0.21384053624409655</v>
      </c>
      <c r="O28" s="402">
        <v>8061635.7800000003</v>
      </c>
      <c r="P28" s="1488">
        <f t="shared" si="4"/>
        <v>0.20256074674000435</v>
      </c>
      <c r="Q28" s="1486">
        <v>9152036.5</v>
      </c>
      <c r="R28" s="1487">
        <f t="shared" si="5"/>
        <v>0.22584282325743482</v>
      </c>
      <c r="T28" s="1489">
        <f t="shared" si="6"/>
        <v>9072955.8828455973</v>
      </c>
      <c r="U28" s="1488">
        <f>AVERAGE(N28,P28,R28)</f>
        <v>0.21408136874717856</v>
      </c>
      <c r="W28" s="1490">
        <f t="shared" si="8"/>
        <v>8928272.114246048</v>
      </c>
      <c r="X28" s="1491">
        <f t="shared" si="9"/>
        <v>0.21408136874717856</v>
      </c>
      <c r="AE28" s="359" t="s">
        <v>89</v>
      </c>
      <c r="AF28" s="1219">
        <v>4487171</v>
      </c>
      <c r="AG28" s="1453">
        <v>1477620.9169400586</v>
      </c>
      <c r="AH28" s="12">
        <v>1330000</v>
      </c>
    </row>
    <row r="29" spans="1:34">
      <c r="A29" s="344" t="s">
        <v>1415</v>
      </c>
      <c r="B29" s="344"/>
      <c r="C29" s="1450">
        <v>0.05</v>
      </c>
      <c r="D29" s="1451">
        <f>C29*D$34</f>
        <v>2150000</v>
      </c>
      <c r="E29" s="1451">
        <f>C29*E$34</f>
        <v>2193000</v>
      </c>
      <c r="H29" t="s">
        <v>8</v>
      </c>
      <c r="I29" s="1486">
        <v>99113.82</v>
      </c>
      <c r="J29" s="1487">
        <f t="shared" si="2"/>
        <v>2.7391214422173966E-3</v>
      </c>
      <c r="K29" s="402">
        <v>129277.5</v>
      </c>
      <c r="L29" s="1488">
        <f t="shared" si="2"/>
        <v>3.6301289357859538E-3</v>
      </c>
      <c r="M29" s="1486">
        <v>183593.95</v>
      </c>
      <c r="N29" s="1487">
        <f t="shared" si="3"/>
        <v>4.8796142784022891E-3</v>
      </c>
      <c r="O29" s="402">
        <v>120093.95</v>
      </c>
      <c r="P29" s="1488">
        <f t="shared" si="4"/>
        <v>3.0175414586835559E-3</v>
      </c>
      <c r="Q29" s="1486">
        <v>61743.69</v>
      </c>
      <c r="R29" s="1487">
        <f t="shared" si="5"/>
        <v>1.5236356703703974E-3</v>
      </c>
      <c r="T29" s="1489">
        <f t="shared" si="6"/>
        <v>133087.1299412066</v>
      </c>
      <c r="U29" s="1488">
        <f t="shared" si="7"/>
        <v>3.140263802485414E-3</v>
      </c>
      <c r="W29" s="1490">
        <f t="shared" si="8"/>
        <v>130964.82848172322</v>
      </c>
      <c r="X29" s="1491">
        <f t="shared" si="9"/>
        <v>3.140263802485414E-3</v>
      </c>
      <c r="AE29" s="362"/>
      <c r="AF29" s="1220"/>
    </row>
    <row r="30" spans="1:34">
      <c r="A30" s="344" t="s">
        <v>1416</v>
      </c>
      <c r="B30" s="1454">
        <v>3.1E-2</v>
      </c>
      <c r="C30" s="1450"/>
      <c r="D30" s="1451"/>
      <c r="E30" s="1451"/>
      <c r="H30" t="s">
        <v>9</v>
      </c>
      <c r="I30" s="1486">
        <v>2726123.93</v>
      </c>
      <c r="J30" s="1487">
        <f t="shared" si="2"/>
        <v>7.533948858801888E-2</v>
      </c>
      <c r="K30" s="402">
        <v>2407131.41</v>
      </c>
      <c r="L30" s="1488">
        <f t="shared" si="2"/>
        <v>6.7592561611109769E-2</v>
      </c>
      <c r="M30" s="1486">
        <v>3087624.31</v>
      </c>
      <c r="N30" s="1487">
        <f t="shared" si="3"/>
        <v>8.2063791695848459E-2</v>
      </c>
      <c r="O30" s="402">
        <v>3789871.29</v>
      </c>
      <c r="P30" s="1488">
        <f t="shared" si="4"/>
        <v>9.5226226971879338E-2</v>
      </c>
      <c r="Q30" s="1486">
        <v>3420031.15</v>
      </c>
      <c r="R30" s="1487">
        <f t="shared" si="5"/>
        <v>8.4395368237918572E-2</v>
      </c>
      <c r="T30" s="1489">
        <f t="shared" si="6"/>
        <v>3696818.6200643727</v>
      </c>
      <c r="U30" s="1488">
        <f t="shared" si="7"/>
        <v>8.7228462301882123E-2</v>
      </c>
      <c r="W30" s="1490">
        <f t="shared" si="8"/>
        <v>3637866.5368969473</v>
      </c>
      <c r="X30" s="1491">
        <f t="shared" si="9"/>
        <v>8.7228462301882123E-2</v>
      </c>
      <c r="AE30" s="172"/>
      <c r="AF30" s="1221"/>
    </row>
    <row r="31" spans="1:34">
      <c r="A31" s="344" t="s">
        <v>1417</v>
      </c>
      <c r="B31" s="1454">
        <v>4.5999999999999999E-2</v>
      </c>
      <c r="C31" s="1450"/>
      <c r="D31" s="1451"/>
      <c r="E31" s="1451"/>
      <c r="H31" t="s">
        <v>10</v>
      </c>
      <c r="I31" s="1486">
        <v>529169.03</v>
      </c>
      <c r="J31" s="1487">
        <f t="shared" si="2"/>
        <v>1.4624178915012869E-2</v>
      </c>
      <c r="K31" s="402">
        <v>258863.42</v>
      </c>
      <c r="L31" s="1488">
        <f t="shared" si="2"/>
        <v>7.2689183450988177E-3</v>
      </c>
      <c r="M31" s="1486">
        <v>589453.39</v>
      </c>
      <c r="N31" s="1487">
        <f t="shared" si="3"/>
        <v>1.566666645767267E-2</v>
      </c>
      <c r="O31" s="402">
        <v>839415.44</v>
      </c>
      <c r="P31" s="1488">
        <f t="shared" si="4"/>
        <v>2.1091577812696632E-2</v>
      </c>
      <c r="Q31" s="1486">
        <v>962283.42</v>
      </c>
      <c r="R31" s="1487">
        <f t="shared" si="5"/>
        <v>2.3746059617072105E-2</v>
      </c>
      <c r="T31" s="1489">
        <f t="shared" si="6"/>
        <v>854741.79452662589</v>
      </c>
      <c r="U31" s="1488">
        <f t="shared" si="7"/>
        <v>2.0168101295813801E-2</v>
      </c>
      <c r="W31" s="1490">
        <f t="shared" si="8"/>
        <v>841111.47761463991</v>
      </c>
      <c r="X31" s="1491">
        <f t="shared" si="9"/>
        <v>2.0168101295813801E-2</v>
      </c>
      <c r="AE31" s="162"/>
      <c r="AF31" s="1207"/>
    </row>
    <row r="32" spans="1:34">
      <c r="A32" s="344" t="s">
        <v>1418</v>
      </c>
      <c r="B32" s="1454">
        <v>2.9000000000000001E-2</v>
      </c>
      <c r="C32" s="1450"/>
      <c r="D32" s="1451"/>
      <c r="E32" s="1451"/>
      <c r="H32" t="s">
        <v>60</v>
      </c>
      <c r="I32" s="1492">
        <v>0</v>
      </c>
      <c r="J32" s="1493">
        <f t="shared" si="2"/>
        <v>0</v>
      </c>
      <c r="K32" s="1494">
        <v>0</v>
      </c>
      <c r="L32" s="1495">
        <f t="shared" si="2"/>
        <v>0</v>
      </c>
      <c r="M32" s="1492">
        <v>722.23</v>
      </c>
      <c r="N32" s="1493">
        <f t="shared" si="3"/>
        <v>1.9195642450584483E-5</v>
      </c>
      <c r="O32" s="1494">
        <v>1710.69</v>
      </c>
      <c r="P32" s="1495">
        <f t="shared" si="4"/>
        <v>4.298366402267035E-5</v>
      </c>
      <c r="Q32" s="1492">
        <v>763.87</v>
      </c>
      <c r="R32" s="1493">
        <f t="shared" si="5"/>
        <v>1.8849854609043216E-5</v>
      </c>
      <c r="T32" s="1489">
        <f t="shared" si="6"/>
        <v>1144.6956018420738</v>
      </c>
      <c r="U32" s="1488">
        <f t="shared" si="7"/>
        <v>2.7009720360766014E-5</v>
      </c>
      <c r="W32" s="1490">
        <f t="shared" si="8"/>
        <v>1126.4414765368933</v>
      </c>
      <c r="X32" s="1491">
        <f t="shared" si="9"/>
        <v>2.7009720360766014E-5</v>
      </c>
      <c r="AE32" s="49" t="s">
        <v>91</v>
      </c>
      <c r="AF32" s="1216"/>
    </row>
    <row r="33" spans="1:34">
      <c r="C33" s="16"/>
      <c r="H33" s="1496" t="s">
        <v>1381</v>
      </c>
      <c r="I33" s="1497">
        <v>36184529.270000003</v>
      </c>
      <c r="J33" s="1498">
        <f>SUM(J11:J32)</f>
        <v>1</v>
      </c>
      <c r="K33" s="1499">
        <v>35612371.43</v>
      </c>
      <c r="L33" s="1500">
        <f>SUM(L11:L32)</f>
        <v>1.0000000000000002</v>
      </c>
      <c r="M33" s="1497">
        <v>37624684.969999999</v>
      </c>
      <c r="N33" s="1498">
        <f>SUM(N11:N32)</f>
        <v>1.0000000000000002</v>
      </c>
      <c r="O33" s="1499">
        <v>39798608.119999997</v>
      </c>
      <c r="P33" s="1500">
        <f>SUM(P11:P32)</f>
        <v>1.0000000000000002</v>
      </c>
      <c r="Q33" s="1497">
        <v>40523919.990000002</v>
      </c>
      <c r="R33" s="1498">
        <f>SUM(R11:R32)</f>
        <v>1</v>
      </c>
      <c r="T33" s="1499">
        <f>SUM(T11:T32)</f>
        <v>45055743.720018364</v>
      </c>
      <c r="U33" s="1500">
        <f>SUM(U11:U32)</f>
        <v>1</v>
      </c>
      <c r="W33" s="1501">
        <f>SUM(W11:W32)</f>
        <v>44110248.314787865</v>
      </c>
      <c r="X33" s="1502">
        <f>SUM(X11:X32)</f>
        <v>1</v>
      </c>
      <c r="AE33" s="173" t="s">
        <v>92</v>
      </c>
      <c r="AF33" s="1213">
        <v>0</v>
      </c>
    </row>
    <row r="34" spans="1:34">
      <c r="A34" s="209"/>
      <c r="B34" s="1455">
        <f>SUM(B7:B32)</f>
        <v>1.000110142462258</v>
      </c>
      <c r="C34" s="1455">
        <f>SUM(C7:C32)</f>
        <v>1</v>
      </c>
      <c r="D34" s="1456">
        <v>43000000</v>
      </c>
      <c r="E34" s="1456">
        <v>43860000</v>
      </c>
      <c r="I34" s="210"/>
      <c r="J34" s="569"/>
      <c r="L34" s="57"/>
      <c r="M34" s="210"/>
      <c r="N34" s="569"/>
      <c r="P34" s="57"/>
      <c r="Q34" s="210"/>
      <c r="R34" s="210"/>
      <c r="W34" s="1485"/>
      <c r="X34" s="1485"/>
      <c r="AE34" s="172" t="s">
        <v>93</v>
      </c>
      <c r="AF34" s="1215"/>
    </row>
    <row r="35" spans="1:34">
      <c r="E35" s="1453">
        <f>SUM(E7:E29)</f>
        <v>43860000</v>
      </c>
      <c r="H35" s="214"/>
      <c r="I35" s="1503" t="s">
        <v>1438</v>
      </c>
      <c r="J35" s="1503" t="s">
        <v>1439</v>
      </c>
      <c r="K35" s="214" t="s">
        <v>1438</v>
      </c>
      <c r="L35" s="214" t="s">
        <v>1439</v>
      </c>
      <c r="M35" s="1503" t="s">
        <v>1438</v>
      </c>
      <c r="N35" s="1503" t="s">
        <v>1439</v>
      </c>
      <c r="O35" s="214" t="s">
        <v>1438</v>
      </c>
      <c r="P35" s="214" t="s">
        <v>1439</v>
      </c>
      <c r="Q35" s="1503" t="s">
        <v>1438</v>
      </c>
      <c r="R35" s="1503" t="s">
        <v>1439</v>
      </c>
      <c r="S35" s="214"/>
      <c r="T35" s="214" t="s">
        <v>1438</v>
      </c>
      <c r="U35" s="214" t="s">
        <v>1439</v>
      </c>
      <c r="V35" s="214"/>
      <c r="W35" s="1504" t="s">
        <v>1438</v>
      </c>
      <c r="X35" s="1504" t="s">
        <v>1439</v>
      </c>
      <c r="AE35" s="49" t="s">
        <v>94</v>
      </c>
      <c r="AF35" s="1215"/>
    </row>
    <row r="36" spans="1:34">
      <c r="D36" s="1453"/>
      <c r="H36" t="s">
        <v>325</v>
      </c>
      <c r="I36" s="1505">
        <f>0.26*I11</f>
        <v>0</v>
      </c>
      <c r="J36" s="1468"/>
      <c r="K36" s="188">
        <f>0.26*K11</f>
        <v>0</v>
      </c>
      <c r="L36" s="1415"/>
      <c r="M36" s="1505">
        <f>0.26*M11</f>
        <v>0</v>
      </c>
      <c r="N36" s="1468"/>
      <c r="O36" s="188">
        <f>0.26*O11</f>
        <v>6498.4270000000006</v>
      </c>
      <c r="P36" s="1415"/>
      <c r="Q36" s="1505">
        <f>0.26*Q11</f>
        <v>6634.6722000000009</v>
      </c>
      <c r="R36" s="1505"/>
      <c r="S36" s="188"/>
      <c r="T36" s="1489">
        <f>0.26*T11</f>
        <v>4619.5880667485562</v>
      </c>
      <c r="U36" s="1489"/>
      <c r="V36" s="1489"/>
      <c r="W36" s="1490">
        <f>0.26*W11</f>
        <v>4545.9208496359506</v>
      </c>
      <c r="X36" s="1506"/>
      <c r="AE36" s="173" t="s">
        <v>95</v>
      </c>
      <c r="AF36" s="1213"/>
    </row>
    <row r="37" spans="1:34">
      <c r="H37" t="s">
        <v>332</v>
      </c>
      <c r="I37" s="1505">
        <f t="shared" ref="I37:K45" si="10">0.26*I12</f>
        <v>0</v>
      </c>
      <c r="J37" s="1468"/>
      <c r="K37" s="188">
        <f t="shared" si="10"/>
        <v>0</v>
      </c>
      <c r="L37" s="1415"/>
      <c r="M37" s="1505">
        <v>45308.91</v>
      </c>
      <c r="N37" s="1468"/>
      <c r="O37" s="188">
        <v>63106.34</v>
      </c>
      <c r="P37" s="1415"/>
      <c r="Q37" s="1505">
        <v>90080.8</v>
      </c>
      <c r="R37" s="1505"/>
      <c r="S37" s="188"/>
      <c r="T37" s="1489">
        <f t="shared" ref="T37:T50" si="11">0.26*T12</f>
        <v>46832.270964386327</v>
      </c>
      <c r="U37" s="1489"/>
      <c r="V37" s="1489"/>
      <c r="W37" s="1490">
        <f t="shared" ref="W37:W50" si="12">0.26*W12</f>
        <v>46085.450463692192</v>
      </c>
      <c r="X37" s="1506"/>
      <c r="AE37" s="172" t="s">
        <v>96</v>
      </c>
      <c r="AF37" s="1215">
        <v>230075.33333333334</v>
      </c>
      <c r="AG37" s="1453">
        <v>75763.576874001374</v>
      </c>
      <c r="AH37" s="12">
        <v>68000</v>
      </c>
    </row>
    <row r="38" spans="1:34">
      <c r="H38" t="s">
        <v>337</v>
      </c>
      <c r="I38" s="1505">
        <f t="shared" si="10"/>
        <v>14523.8418</v>
      </c>
      <c r="J38" s="1468"/>
      <c r="K38" s="188">
        <f t="shared" si="10"/>
        <v>12417.99</v>
      </c>
      <c r="L38" s="1415"/>
      <c r="M38" s="1505">
        <v>449.66</v>
      </c>
      <c r="N38" s="1468"/>
      <c r="O38" s="188">
        <v>1.1599999999999999</v>
      </c>
      <c r="P38" s="1415"/>
      <c r="Q38" s="1505">
        <v>-431.63</v>
      </c>
      <c r="R38" s="1505"/>
      <c r="S38" s="188"/>
      <c r="T38" s="1489">
        <f t="shared" si="11"/>
        <v>9745.1323185179808</v>
      </c>
      <c r="U38" s="1489"/>
      <c r="V38" s="1489"/>
      <c r="W38" s="1490">
        <f t="shared" si="12"/>
        <v>9589.7295492826215</v>
      </c>
      <c r="X38" s="1506"/>
      <c r="AE38" s="358" t="s">
        <v>474</v>
      </c>
      <c r="AF38" s="1215">
        <v>0</v>
      </c>
    </row>
    <row r="39" spans="1:34">
      <c r="A39" t="s">
        <v>326</v>
      </c>
      <c r="B39" s="1093">
        <v>9.7194547385944362E-3</v>
      </c>
      <c r="H39" t="s">
        <v>349</v>
      </c>
      <c r="I39" s="1505">
        <f t="shared" si="10"/>
        <v>1087.7984000000001</v>
      </c>
      <c r="J39" s="1468"/>
      <c r="K39" s="188">
        <f t="shared" si="10"/>
        <v>1500.2416000000001</v>
      </c>
      <c r="L39" s="1415"/>
      <c r="M39" s="1505">
        <v>3605.07</v>
      </c>
      <c r="N39" s="1468"/>
      <c r="O39" s="188">
        <v>5195.7</v>
      </c>
      <c r="P39" s="1415"/>
      <c r="Q39" s="1505">
        <f>0.26*Q14</f>
        <v>5016.2840000000006</v>
      </c>
      <c r="R39" s="1505"/>
      <c r="S39" s="188"/>
      <c r="T39" s="1489">
        <f t="shared" si="11"/>
        <v>4946.584571423321</v>
      </c>
      <c r="U39" s="1489"/>
      <c r="V39" s="1489"/>
      <c r="W39" s="1490">
        <f t="shared" si="12"/>
        <v>4867.7028368782348</v>
      </c>
      <c r="X39" s="1506"/>
      <c r="AE39" s="172" t="s">
        <v>97</v>
      </c>
      <c r="AF39" s="1215">
        <v>0</v>
      </c>
    </row>
    <row r="40" spans="1:34">
      <c r="A40" t="s">
        <v>332</v>
      </c>
      <c r="B40" s="1093">
        <v>4.0679731484971936E-3</v>
      </c>
      <c r="H40" t="s">
        <v>145</v>
      </c>
      <c r="I40" s="1505">
        <f t="shared" si="10"/>
        <v>0</v>
      </c>
      <c r="J40" s="1468"/>
      <c r="K40" s="188">
        <f t="shared" si="10"/>
        <v>8469.0372000000007</v>
      </c>
      <c r="L40" s="1415"/>
      <c r="M40" s="1505">
        <v>14160.77</v>
      </c>
      <c r="N40" s="1468"/>
      <c r="O40" s="188">
        <v>19324.53</v>
      </c>
      <c r="P40" s="1415"/>
      <c r="Q40" s="1505">
        <f>0.26*Q15</f>
        <v>2471.8745999999996</v>
      </c>
      <c r="R40" s="1505"/>
      <c r="S40" s="188"/>
      <c r="T40" s="1489">
        <f t="shared" si="11"/>
        <v>13038.122533997064</v>
      </c>
      <c r="U40" s="1489"/>
      <c r="V40" s="1489"/>
      <c r="W40" s="1490">
        <f t="shared" si="12"/>
        <v>12830.207414818757</v>
      </c>
      <c r="X40" s="1506"/>
      <c r="AE40" s="173" t="s">
        <v>98</v>
      </c>
      <c r="AF40" s="1213">
        <v>0</v>
      </c>
    </row>
    <row r="41" spans="1:34">
      <c r="A41" t="s">
        <v>337</v>
      </c>
      <c r="B41" s="1093">
        <v>1.1195538237645844E-2</v>
      </c>
      <c r="H41" t="s">
        <v>353</v>
      </c>
      <c r="I41" s="1505">
        <f t="shared" si="10"/>
        <v>22792.133000000002</v>
      </c>
      <c r="J41" s="1468"/>
      <c r="K41" s="188">
        <f t="shared" si="10"/>
        <v>21447.106199999998</v>
      </c>
      <c r="L41" s="1415"/>
      <c r="M41" s="1505">
        <v>24160.29</v>
      </c>
      <c r="N41" s="1468"/>
      <c r="O41" s="188">
        <v>23904.25</v>
      </c>
      <c r="P41" s="1415"/>
      <c r="Q41" s="1505">
        <f>0.26*Q16</f>
        <v>22624.258800000003</v>
      </c>
      <c r="R41" s="1505"/>
      <c r="S41" s="188"/>
      <c r="T41" s="1489">
        <f t="shared" si="11"/>
        <v>25443.548002666506</v>
      </c>
      <c r="U41" s="1489"/>
      <c r="V41" s="1489"/>
      <c r="W41" s="1490">
        <f t="shared" si="12"/>
        <v>25037.80719899639</v>
      </c>
      <c r="X41" s="1506"/>
      <c r="AE41" s="172" t="s">
        <v>475</v>
      </c>
      <c r="AF41" s="1215"/>
    </row>
    <row r="42" spans="1:34">
      <c r="A42" t="s">
        <v>145</v>
      </c>
      <c r="B42" s="1093">
        <v>2.8081838157648552E-2</v>
      </c>
      <c r="H42" t="s">
        <v>359</v>
      </c>
      <c r="I42" s="1505">
        <f>1442716.53-74216</f>
        <v>1368500.53</v>
      </c>
      <c r="J42" s="1468">
        <v>816340</v>
      </c>
      <c r="K42" s="188">
        <f>1461760.07-90413</f>
        <v>1371347.07</v>
      </c>
      <c r="L42" s="1415">
        <v>776152</v>
      </c>
      <c r="M42" s="1505">
        <v>1285494.21</v>
      </c>
      <c r="N42" s="1468">
        <v>512393</v>
      </c>
      <c r="O42" s="188">
        <v>1293114.21</v>
      </c>
      <c r="P42" s="1415">
        <v>901905</v>
      </c>
      <c r="Q42" s="1505">
        <v>1410628.63</v>
      </c>
      <c r="R42" s="1505">
        <v>780800</v>
      </c>
      <c r="S42" s="188"/>
      <c r="T42" s="1489">
        <f t="shared" si="11"/>
        <v>1166664.4667350613</v>
      </c>
      <c r="U42" s="1489">
        <v>678800</v>
      </c>
      <c r="V42" s="1489"/>
      <c r="W42" s="1490">
        <f t="shared" si="12"/>
        <v>1148060.0103794916</v>
      </c>
      <c r="X42" s="1506">
        <v>1000000</v>
      </c>
      <c r="AA42" s="1027"/>
      <c r="AE42" s="49" t="s">
        <v>85</v>
      </c>
      <c r="AF42" s="1214">
        <v>76493</v>
      </c>
      <c r="AG42" s="1453">
        <v>25189.068301496845</v>
      </c>
      <c r="AH42" s="12">
        <v>23000</v>
      </c>
    </row>
    <row r="43" spans="1:34">
      <c r="A43" t="s">
        <v>1419</v>
      </c>
      <c r="B43" s="1093">
        <v>0.13402363265478581</v>
      </c>
      <c r="H43" t="s">
        <v>58</v>
      </c>
      <c r="I43" s="1505">
        <v>9598.58</v>
      </c>
      <c r="J43" s="1468"/>
      <c r="K43" s="188">
        <f t="shared" si="10"/>
        <v>15251.9406</v>
      </c>
      <c r="L43" s="1415"/>
      <c r="M43" s="1505">
        <v>96.77</v>
      </c>
      <c r="N43" s="1468"/>
      <c r="O43" s="188">
        <v>454.24</v>
      </c>
      <c r="P43" s="1415"/>
      <c r="Q43" s="1505">
        <v>66.36</v>
      </c>
      <c r="R43" s="1505"/>
      <c r="S43" s="188"/>
      <c r="T43" s="1489">
        <f t="shared" si="11"/>
        <v>14477.396169429929</v>
      </c>
      <c r="U43" s="1489"/>
      <c r="V43" s="1489"/>
      <c r="W43" s="1490">
        <f t="shared" si="12"/>
        <v>14246.529375371976</v>
      </c>
      <c r="X43" s="1506"/>
      <c r="AE43" s="359" t="s">
        <v>99</v>
      </c>
      <c r="AF43" s="1213"/>
    </row>
    <row r="44" spans="1:34">
      <c r="A44" t="s">
        <v>1420</v>
      </c>
      <c r="B44" s="1093">
        <v>3.421457478076171E-2</v>
      </c>
      <c r="H44" t="s">
        <v>366</v>
      </c>
      <c r="I44" s="1505">
        <v>673.6</v>
      </c>
      <c r="J44" s="1468"/>
      <c r="K44" s="188">
        <f t="shared" si="10"/>
        <v>-28.488199999999999</v>
      </c>
      <c r="L44" s="1415"/>
      <c r="M44" s="1505">
        <f>0.26*M19</f>
        <v>0</v>
      </c>
      <c r="N44" s="1468"/>
      <c r="O44" s="188">
        <f>0.26*O19</f>
        <v>0</v>
      </c>
      <c r="P44" s="1415"/>
      <c r="Q44" s="1505">
        <f>0.26*Q19</f>
        <v>0</v>
      </c>
      <c r="R44" s="1505"/>
      <c r="S44" s="188"/>
      <c r="T44" s="1489">
        <f t="shared" si="11"/>
        <v>0</v>
      </c>
      <c r="U44" s="1489"/>
      <c r="V44" s="1489"/>
      <c r="W44" s="1490">
        <f t="shared" si="12"/>
        <v>0</v>
      </c>
      <c r="X44" s="1506"/>
      <c r="AE44" s="172" t="s">
        <v>100</v>
      </c>
      <c r="AF44" s="1214">
        <v>45607.666666666664</v>
      </c>
      <c r="AG44" s="1453">
        <v>15018.558962762183</v>
      </c>
      <c r="AH44" s="12">
        <v>14000</v>
      </c>
    </row>
    <row r="45" spans="1:34">
      <c r="A45" t="s">
        <v>373</v>
      </c>
      <c r="B45" s="1093">
        <v>2.1065908854897616E-2</v>
      </c>
      <c r="H45" t="s">
        <v>491</v>
      </c>
      <c r="I45" s="1505">
        <v>15107.3</v>
      </c>
      <c r="J45" s="1468"/>
      <c r="K45" s="188">
        <f t="shared" si="10"/>
        <v>34604.783200000005</v>
      </c>
      <c r="L45" s="1415"/>
      <c r="M45" s="1505">
        <v>34754.959999999999</v>
      </c>
      <c r="N45" s="1468"/>
      <c r="O45" s="188">
        <v>49217.56</v>
      </c>
      <c r="P45" s="1415"/>
      <c r="Q45" s="1505">
        <f>0.26*Q20</f>
        <v>47999.146000000001</v>
      </c>
      <c r="R45" s="1505"/>
      <c r="S45" s="188"/>
      <c r="T45" s="1489">
        <f t="shared" si="11"/>
        <v>47252.647814661366</v>
      </c>
      <c r="U45" s="1489"/>
      <c r="V45" s="1489"/>
      <c r="W45" s="1490">
        <f t="shared" si="12"/>
        <v>46499.123687528918</v>
      </c>
      <c r="X45" s="1506"/>
      <c r="AE45" s="172" t="s">
        <v>101</v>
      </c>
      <c r="AF45" s="1215"/>
    </row>
    <row r="46" spans="1:34">
      <c r="A46" t="s">
        <v>14</v>
      </c>
      <c r="B46" s="1093">
        <v>5.459276909529449E-3</v>
      </c>
      <c r="H46" t="s">
        <v>1437</v>
      </c>
      <c r="I46" s="1505">
        <v>2171143.85</v>
      </c>
      <c r="J46" s="1468">
        <v>2450000</v>
      </c>
      <c r="K46" s="188">
        <v>2095676.24</v>
      </c>
      <c r="L46" s="1415">
        <v>2250000</v>
      </c>
      <c r="M46" s="1505">
        <v>2099063.8199999998</v>
      </c>
      <c r="N46" s="1468">
        <v>2160000</v>
      </c>
      <c r="O46" s="188">
        <v>2083975.43</v>
      </c>
      <c r="P46" s="1415">
        <v>2130000</v>
      </c>
      <c r="Q46" s="1505">
        <v>2010380.48</v>
      </c>
      <c r="R46" s="1505">
        <v>2090000</v>
      </c>
      <c r="S46" s="188"/>
      <c r="T46" s="1489">
        <f t="shared" si="11"/>
        <v>2080951.8457318323</v>
      </c>
      <c r="U46" s="1489">
        <v>1900000</v>
      </c>
      <c r="V46" s="1489"/>
      <c r="W46" s="1490">
        <f t="shared" si="12"/>
        <v>2047767.5164787909</v>
      </c>
      <c r="X46" s="1506">
        <v>1900000</v>
      </c>
      <c r="AA46" s="1027"/>
      <c r="AE46" s="359" t="s">
        <v>102</v>
      </c>
      <c r="AF46" s="1213"/>
    </row>
    <row r="47" spans="1:34">
      <c r="A47" t="s">
        <v>359</v>
      </c>
      <c r="B47" s="1093">
        <v>3.8067648976090794E-2</v>
      </c>
      <c r="H47" t="s">
        <v>1</v>
      </c>
      <c r="I47" s="1505">
        <v>125960.71</v>
      </c>
      <c r="J47" s="1468">
        <v>150000</v>
      </c>
      <c r="K47" s="188">
        <v>143531.49</v>
      </c>
      <c r="L47" s="1415">
        <v>100000</v>
      </c>
      <c r="M47" s="1505">
        <v>142709.57999999999</v>
      </c>
      <c r="N47" s="1468">
        <v>100000</v>
      </c>
      <c r="O47" s="188">
        <v>131040.66</v>
      </c>
      <c r="P47" s="1415">
        <v>100000</v>
      </c>
      <c r="Q47" s="1505">
        <v>201333.01</v>
      </c>
      <c r="R47" s="1505">
        <v>100000</v>
      </c>
      <c r="S47" s="188"/>
      <c r="T47" s="1489">
        <f t="shared" si="11"/>
        <v>170290.00678590138</v>
      </c>
      <c r="U47" s="1489">
        <v>125000</v>
      </c>
      <c r="V47" s="1489"/>
      <c r="W47" s="1490">
        <f t="shared" si="12"/>
        <v>167574.44195182004</v>
      </c>
      <c r="X47" s="1506">
        <v>140000</v>
      </c>
      <c r="AA47" s="1027"/>
      <c r="AE47" s="172" t="s">
        <v>103</v>
      </c>
      <c r="AF47" s="1214">
        <v>0</v>
      </c>
    </row>
    <row r="48" spans="1:34">
      <c r="A48" t="s">
        <v>1421</v>
      </c>
      <c r="B48" s="1093">
        <v>3.5041535415486018E-3</v>
      </c>
      <c r="H48" t="s">
        <v>2</v>
      </c>
      <c r="I48" s="1505">
        <v>452098.52</v>
      </c>
      <c r="J48" s="1468">
        <v>433000</v>
      </c>
      <c r="K48" s="188">
        <v>448805.56</v>
      </c>
      <c r="L48" s="1415">
        <v>450000</v>
      </c>
      <c r="M48" s="1505">
        <v>457768.24</v>
      </c>
      <c r="N48" s="1468">
        <v>430000</v>
      </c>
      <c r="O48" s="188">
        <v>506913.36</v>
      </c>
      <c r="P48" s="1415">
        <v>420000</v>
      </c>
      <c r="Q48" s="1505">
        <v>439225.27</v>
      </c>
      <c r="R48" s="1505">
        <v>480000</v>
      </c>
      <c r="S48" s="188"/>
      <c r="T48" s="1489">
        <f t="shared" si="11"/>
        <v>504930.37243674014</v>
      </c>
      <c r="U48" s="1489">
        <v>500000</v>
      </c>
      <c r="V48" s="1489"/>
      <c r="W48" s="1490">
        <f t="shared" si="12"/>
        <v>496878.39575925533</v>
      </c>
      <c r="X48" s="1506">
        <v>450000</v>
      </c>
      <c r="AA48" s="1027"/>
      <c r="AE48" s="172" t="s">
        <v>450</v>
      </c>
      <c r="AF48" s="1214"/>
    </row>
    <row r="49" spans="1:34">
      <c r="A49" t="s">
        <v>349</v>
      </c>
      <c r="B49" s="1093">
        <v>2.7099999999999999E-2</v>
      </c>
      <c r="H49" t="s">
        <v>17</v>
      </c>
      <c r="I49" s="1505">
        <v>36082.44</v>
      </c>
      <c r="J49" s="1468">
        <v>13000</v>
      </c>
      <c r="K49" s="188">
        <v>24255.68</v>
      </c>
      <c r="L49" s="1415">
        <v>15000</v>
      </c>
      <c r="M49" s="1505">
        <v>36896.22</v>
      </c>
      <c r="N49" s="1468">
        <v>22500</v>
      </c>
      <c r="O49" s="188">
        <v>73248</v>
      </c>
      <c r="P49" s="1415">
        <v>26920</v>
      </c>
      <c r="Q49" s="1505">
        <v>108889.47</v>
      </c>
      <c r="R49" s="1505">
        <v>28127</v>
      </c>
      <c r="S49" s="188"/>
      <c r="T49" s="1489">
        <f t="shared" si="11"/>
        <v>81294.318675632312</v>
      </c>
      <c r="U49" s="1489">
        <v>99500</v>
      </c>
      <c r="V49" s="1489"/>
      <c r="W49" s="1490">
        <f t="shared" si="12"/>
        <v>79997.941999320945</v>
      </c>
      <c r="X49" s="1506">
        <v>80000</v>
      </c>
      <c r="AA49" s="1027"/>
      <c r="AE49" s="377" t="s">
        <v>476</v>
      </c>
      <c r="AF49" s="1213"/>
    </row>
    <row r="50" spans="1:34">
      <c r="A50" t="s">
        <v>1422</v>
      </c>
      <c r="B50" s="1093">
        <v>9.2399999999999996E-2</v>
      </c>
      <c r="H50" t="s">
        <v>4</v>
      </c>
      <c r="I50" s="1505">
        <v>877336.14</v>
      </c>
      <c r="J50" s="1468">
        <v>1000000</v>
      </c>
      <c r="K50" s="188">
        <v>738529.53</v>
      </c>
      <c r="L50" s="1415">
        <v>950000</v>
      </c>
      <c r="M50" s="1505">
        <v>742121.57</v>
      </c>
      <c r="N50" s="1468">
        <v>750000</v>
      </c>
      <c r="O50" s="188">
        <v>789779.12</v>
      </c>
      <c r="P50" s="1415">
        <v>750000</v>
      </c>
      <c r="Q50" s="1505">
        <v>788750.89</v>
      </c>
      <c r="R50" s="1505">
        <v>760000</v>
      </c>
      <c r="S50" s="188"/>
      <c r="T50" s="1489">
        <f t="shared" si="11"/>
        <v>840196.46504642547</v>
      </c>
      <c r="U50" s="1489">
        <v>780000</v>
      </c>
      <c r="V50" s="1489"/>
      <c r="W50" s="1490">
        <f t="shared" si="12"/>
        <v>826798.09824109613</v>
      </c>
      <c r="X50" s="1506">
        <v>800000</v>
      </c>
      <c r="AA50" s="1027"/>
      <c r="AE50" s="172" t="s">
        <v>104</v>
      </c>
      <c r="AF50" s="1214"/>
    </row>
    <row r="51" spans="1:34">
      <c r="A51" t="s">
        <v>1423</v>
      </c>
      <c r="B51" s="1093">
        <v>1.6000000000000001E-3</v>
      </c>
      <c r="H51" t="s">
        <v>5</v>
      </c>
      <c r="I51" s="1505">
        <v>3295333.57</v>
      </c>
      <c r="J51" s="1468">
        <v>2800000</v>
      </c>
      <c r="K51" s="188">
        <v>3590834.42</v>
      </c>
      <c r="L51" s="1415">
        <v>2800000</v>
      </c>
      <c r="M51" s="1505">
        <v>3490229.1</v>
      </c>
      <c r="N51" s="1468">
        <v>2800000</v>
      </c>
      <c r="O51" s="188">
        <v>3696125.8</v>
      </c>
      <c r="P51" s="1415">
        <v>2800000</v>
      </c>
      <c r="Q51" s="1505">
        <v>3528976.8</v>
      </c>
      <c r="R51" s="1505">
        <v>2900000</v>
      </c>
      <c r="S51" s="188"/>
      <c r="T51" s="1489">
        <f>0.42*T26</f>
        <v>5039205.1079663122</v>
      </c>
      <c r="U51" s="1489">
        <v>2900000</v>
      </c>
      <c r="V51" s="1489"/>
      <c r="W51" s="1490">
        <f>0.42*W26</f>
        <v>4863504.4220363982</v>
      </c>
      <c r="X51" s="1506">
        <v>4000000</v>
      </c>
      <c r="AA51" s="1027"/>
      <c r="AF51" s="367"/>
    </row>
    <row r="52" spans="1:34" ht="16.5" thickBot="1">
      <c r="A52" t="s">
        <v>1424</v>
      </c>
      <c r="B52" s="1093">
        <v>1.46E-2</v>
      </c>
      <c r="C52" s="1452">
        <v>3.1044014458856049E-2</v>
      </c>
      <c r="H52" t="s">
        <v>6</v>
      </c>
      <c r="I52" s="1505">
        <v>32012.22</v>
      </c>
      <c r="J52" s="1468">
        <v>15000</v>
      </c>
      <c r="K52" s="188">
        <v>46624.42</v>
      </c>
      <c r="L52" s="1415">
        <v>45000</v>
      </c>
      <c r="M52" s="1505">
        <v>8147.16</v>
      </c>
      <c r="N52" s="1468">
        <v>30000</v>
      </c>
      <c r="O52" s="188">
        <v>7541.28</v>
      </c>
      <c r="P52" s="1415">
        <v>6300</v>
      </c>
      <c r="Q52" s="1505">
        <v>3707</v>
      </c>
      <c r="R52" s="1505">
        <v>6400</v>
      </c>
      <c r="S52" s="188"/>
      <c r="T52" s="1489">
        <f t="shared" ref="T52:T57" si="13">0.26*T27</f>
        <v>7028.1653974964202</v>
      </c>
      <c r="U52" s="1489">
        <v>2800</v>
      </c>
      <c r="V52" s="1489"/>
      <c r="W52" s="1490">
        <f t="shared" ref="W52:W57" si="14">0.26*W27</f>
        <v>6916.0893035331146</v>
      </c>
      <c r="X52" s="1506">
        <v>3000</v>
      </c>
      <c r="AA52" s="1027"/>
      <c r="AF52" s="1646">
        <v>41289527.32</v>
      </c>
      <c r="AG52" s="1646">
        <v>13596600.000000004</v>
      </c>
      <c r="AH52" s="1646">
        <v>12239000</v>
      </c>
    </row>
    <row r="53" spans="1:34" ht="16.5" thickTop="1">
      <c r="A53" t="s">
        <v>1425</v>
      </c>
      <c r="B53" s="1093">
        <v>2.1500000000000005E-2</v>
      </c>
      <c r="C53" s="1452">
        <v>4.5715500744205835E-2</v>
      </c>
      <c r="H53" t="s">
        <v>7</v>
      </c>
      <c r="I53" s="1505">
        <v>1602873.81</v>
      </c>
      <c r="J53" s="1468">
        <v>1700000</v>
      </c>
      <c r="K53" s="188">
        <v>1670737.94</v>
      </c>
      <c r="L53" s="1415">
        <v>1600000</v>
      </c>
      <c r="M53" s="1505">
        <v>2086358.82</v>
      </c>
      <c r="N53" s="1468">
        <v>1600000</v>
      </c>
      <c r="O53" s="188">
        <v>2093387.21</v>
      </c>
      <c r="P53" s="1415">
        <v>2200000</v>
      </c>
      <c r="Q53" s="1505">
        <v>2378446.59</v>
      </c>
      <c r="R53" s="1505">
        <v>2100000</v>
      </c>
      <c r="S53" s="188"/>
      <c r="T53" s="1489">
        <f t="shared" si="13"/>
        <v>2358968.5295398552</v>
      </c>
      <c r="U53" s="1489">
        <v>2400000</v>
      </c>
      <c r="V53" s="1489"/>
      <c r="W53" s="1490">
        <f t="shared" si="14"/>
        <v>2321350.7497039726</v>
      </c>
      <c r="X53" s="1506">
        <v>2300000</v>
      </c>
      <c r="AA53" s="1027"/>
      <c r="AH53" s="12">
        <v>1357600.0000000037</v>
      </c>
    </row>
    <row r="54" spans="1:34">
      <c r="A54" t="s">
        <v>1426</v>
      </c>
      <c r="B54" s="1093">
        <v>0.01</v>
      </c>
      <c r="H54" t="s">
        <v>8</v>
      </c>
      <c r="I54" s="1505">
        <v>25769.59</v>
      </c>
      <c r="J54" s="1468">
        <v>10000</v>
      </c>
      <c r="K54" s="188">
        <v>33612.160000000003</v>
      </c>
      <c r="L54" s="1415">
        <v>7500</v>
      </c>
      <c r="M54" s="1505">
        <v>47734.41</v>
      </c>
      <c r="N54" s="1468">
        <v>18900</v>
      </c>
      <c r="O54" s="188">
        <v>31224.42</v>
      </c>
      <c r="P54" s="1415">
        <v>15200</v>
      </c>
      <c r="Q54" s="1505">
        <v>16053.35</v>
      </c>
      <c r="R54" s="1505">
        <v>14705</v>
      </c>
      <c r="S54" s="188"/>
      <c r="T54" s="1489">
        <f t="shared" si="13"/>
        <v>34602.653784713715</v>
      </c>
      <c r="U54" s="1489">
        <v>15786</v>
      </c>
      <c r="V54" s="1489"/>
      <c r="W54" s="1490">
        <f t="shared" si="14"/>
        <v>34050.855405248039</v>
      </c>
      <c r="X54" s="1506">
        <v>25000</v>
      </c>
      <c r="AA54" s="1027"/>
    </row>
    <row r="55" spans="1:34">
      <c r="A55" t="s">
        <v>1427</v>
      </c>
      <c r="B55" s="1093">
        <v>1.37E-2</v>
      </c>
      <c r="C55" s="1452">
        <v>2.9130342334679992E-2</v>
      </c>
      <c r="H55" t="s">
        <v>9</v>
      </c>
      <c r="I55" s="1505">
        <v>708792.25</v>
      </c>
      <c r="J55" s="1468">
        <v>650000</v>
      </c>
      <c r="K55" s="188">
        <v>625854.17000000004</v>
      </c>
      <c r="L55" s="1415">
        <v>750000</v>
      </c>
      <c r="M55" s="1505">
        <v>802782.32</v>
      </c>
      <c r="N55" s="1468">
        <v>600000</v>
      </c>
      <c r="O55" s="188">
        <v>985366.58</v>
      </c>
      <c r="P55" s="1415">
        <v>800000</v>
      </c>
      <c r="Q55" s="1505">
        <v>889208.13</v>
      </c>
      <c r="R55" s="1505">
        <v>1000000</v>
      </c>
      <c r="S55" s="188"/>
      <c r="T55" s="1489">
        <f t="shared" si="13"/>
        <v>961172.84121673694</v>
      </c>
      <c r="U55" s="1489">
        <v>900000</v>
      </c>
      <c r="V55" s="1489"/>
      <c r="W55" s="1490">
        <f t="shared" si="14"/>
        <v>945845.29959320638</v>
      </c>
      <c r="X55" s="1506">
        <v>900000</v>
      </c>
      <c r="AA55" s="1027"/>
    </row>
    <row r="56" spans="1:34">
      <c r="B56" s="1093">
        <v>0.47030000000000005</v>
      </c>
      <c r="C56" s="16">
        <v>0.99999999999999989</v>
      </c>
      <c r="H56" t="s">
        <v>10</v>
      </c>
      <c r="I56" s="1505">
        <v>135564.22</v>
      </c>
      <c r="J56" s="1468">
        <v>185000</v>
      </c>
      <c r="K56" s="188">
        <v>66444</v>
      </c>
      <c r="L56" s="1415">
        <v>140000</v>
      </c>
      <c r="M56" s="1505">
        <v>147617</v>
      </c>
      <c r="N56" s="1468">
        <v>50000</v>
      </c>
      <c r="O56" s="188">
        <v>213874.72</v>
      </c>
      <c r="P56" s="1415">
        <v>150000</v>
      </c>
      <c r="Q56" s="1505">
        <v>250274.82</v>
      </c>
      <c r="R56" s="1505">
        <v>200000</v>
      </c>
      <c r="S56" s="188"/>
      <c r="T56" s="1489">
        <f t="shared" si="13"/>
        <v>222232.86657692274</v>
      </c>
      <c r="U56" s="1489">
        <v>200000</v>
      </c>
      <c r="V56" s="1489"/>
      <c r="W56" s="1490">
        <f t="shared" si="14"/>
        <v>218688.98417980637</v>
      </c>
      <c r="X56" s="1506">
        <v>200000</v>
      </c>
      <c r="Y56" s="12">
        <f>SUM(X42:X56)</f>
        <v>11798000</v>
      </c>
      <c r="AA56" s="1027"/>
    </row>
    <row r="57" spans="1:34" ht="16.5" thickBot="1">
      <c r="A57" s="368" t="s">
        <v>106</v>
      </c>
      <c r="B57" s="369" t="e">
        <f>B6+B7+B8+B9+B10+B11+B12+B34+B56</f>
        <v>#VALUE!</v>
      </c>
      <c r="D57" s="369" t="e">
        <f>D6+D7+D8+D9+D10+D11+D12+D34+D56</f>
        <v>#VALUE!</v>
      </c>
      <c r="H57" t="s">
        <v>60</v>
      </c>
      <c r="I57" s="1505">
        <f>0.26*I32</f>
        <v>0</v>
      </c>
      <c r="J57" s="1468"/>
      <c r="K57" s="188">
        <f>0.26*K32</f>
        <v>0</v>
      </c>
      <c r="L57" s="1415"/>
      <c r="M57" s="1505">
        <f>0.26*M32</f>
        <v>187.77980000000002</v>
      </c>
      <c r="N57" s="1468"/>
      <c r="O57" s="188">
        <v>444.78</v>
      </c>
      <c r="P57" s="1415"/>
      <c r="Q57" s="1505">
        <v>198.61</v>
      </c>
      <c r="R57" s="1505">
        <v>0</v>
      </c>
      <c r="S57" s="188"/>
      <c r="T57" s="1489">
        <f t="shared" si="13"/>
        <v>297.62085647893917</v>
      </c>
      <c r="U57" s="1489">
        <v>0</v>
      </c>
      <c r="V57" s="1489"/>
      <c r="W57" s="1490">
        <f t="shared" si="14"/>
        <v>292.87478389959227</v>
      </c>
      <c r="X57" s="1506"/>
      <c r="Y57" s="12">
        <f>Y56+532000</f>
        <v>12330000</v>
      </c>
      <c r="AA57" s="1027"/>
    </row>
    <row r="58" spans="1:34" ht="16.5" thickTop="1">
      <c r="A58" s="1047"/>
      <c r="B58" s="1048"/>
      <c r="C58" s="42"/>
      <c r="D58" s="1048"/>
      <c r="E58" s="42"/>
      <c r="H58" s="1496" t="s">
        <v>1381</v>
      </c>
      <c r="I58" s="1505">
        <f t="shared" ref="I58:R58" si="15">SUM(I36:I57)</f>
        <v>10895251.103200002</v>
      </c>
      <c r="J58" s="1507">
        <f t="shared" si="15"/>
        <v>10222340</v>
      </c>
      <c r="K58" s="188">
        <f t="shared" si="15"/>
        <v>10949915.2906</v>
      </c>
      <c r="L58" s="1489">
        <f t="shared" si="15"/>
        <v>9883652</v>
      </c>
      <c r="M58" s="1505">
        <f t="shared" si="15"/>
        <v>11469646.6598</v>
      </c>
      <c r="N58" s="1507">
        <f t="shared" si="15"/>
        <v>9073793</v>
      </c>
      <c r="O58" s="188">
        <f t="shared" si="15"/>
        <v>12073737.776999999</v>
      </c>
      <c r="P58" s="1489">
        <f t="shared" si="15"/>
        <v>10300325</v>
      </c>
      <c r="Q58" s="1505">
        <f t="shared" si="15"/>
        <v>12200534.8156</v>
      </c>
      <c r="R58" s="1507">
        <f t="shared" si="15"/>
        <v>10460032</v>
      </c>
      <c r="S58" s="188"/>
      <c r="T58" s="1489">
        <f>SUM(T36:T57)</f>
        <v>13634190.551191941</v>
      </c>
      <c r="U58" s="1489">
        <f>SUM(U36:U57)</f>
        <v>10501886</v>
      </c>
      <c r="V58" s="1489"/>
      <c r="W58" s="1490">
        <f>SUM(W36:W57)</f>
        <v>13321428.151192043</v>
      </c>
      <c r="X58" s="1490">
        <f>SUM(X36:X57)</f>
        <v>11798000</v>
      </c>
    </row>
    <row r="59" spans="1:34">
      <c r="A59" s="366" t="s">
        <v>939</v>
      </c>
      <c r="B59" s="367"/>
      <c r="D59" s="367"/>
      <c r="H59" s="1496" t="s">
        <v>394</v>
      </c>
      <c r="I59" s="1505"/>
      <c r="J59" s="1468">
        <v>3040000</v>
      </c>
      <c r="K59" s="188"/>
      <c r="L59" s="1415">
        <v>2800000</v>
      </c>
      <c r="M59" s="1505"/>
      <c r="N59" s="1468">
        <v>2800000</v>
      </c>
      <c r="O59" s="188"/>
      <c r="P59" s="1415">
        <v>2300000</v>
      </c>
      <c r="Q59" s="1505"/>
      <c r="R59" s="1505">
        <v>3160000</v>
      </c>
      <c r="S59" s="188"/>
      <c r="T59" s="1489"/>
      <c r="U59" s="1489">
        <v>3296000</v>
      </c>
      <c r="V59" s="1489"/>
      <c r="W59" s="1490"/>
      <c r="X59" s="1490">
        <f>0.08*43000000</f>
        <v>3440000</v>
      </c>
    </row>
    <row r="60" spans="1:34">
      <c r="A60" s="1047"/>
      <c r="B60" s="1048"/>
      <c r="C60" s="42"/>
      <c r="D60" s="1048"/>
      <c r="E60" s="42"/>
      <c r="H60" s="1496" t="s">
        <v>392</v>
      </c>
      <c r="I60" s="1505"/>
      <c r="J60" s="1468">
        <v>1520000</v>
      </c>
      <c r="K60" s="188"/>
      <c r="L60" s="1415">
        <v>1400000</v>
      </c>
      <c r="M60" s="1505"/>
      <c r="N60" s="1468">
        <v>1400000</v>
      </c>
      <c r="O60" s="188"/>
      <c r="P60" s="1415">
        <v>1000000</v>
      </c>
      <c r="Q60" s="1505"/>
      <c r="R60" s="1505">
        <v>1580000</v>
      </c>
      <c r="S60" s="188"/>
      <c r="T60" s="1489"/>
      <c r="U60" s="1489">
        <v>1648000</v>
      </c>
      <c r="V60" s="1489"/>
      <c r="W60" s="1490"/>
      <c r="X60" s="1490">
        <f>0.04*43000000</f>
        <v>1720000</v>
      </c>
    </row>
    <row r="61" spans="1:34">
      <c r="H61" t="s">
        <v>1440</v>
      </c>
      <c r="I61" s="1505">
        <f>I33-SUM(I58:I60)</f>
        <v>25289278.1668</v>
      </c>
      <c r="J61" s="1507">
        <f>38000000-SUM(J58:J60)</f>
        <v>23217660</v>
      </c>
      <c r="K61" s="188">
        <f>K33-SUM(K36:K57)</f>
        <v>24662456.139399998</v>
      </c>
      <c r="L61" s="1489">
        <f>35000000-SUM(L58:L60)</f>
        <v>20916348</v>
      </c>
      <c r="M61" s="1505">
        <f>M33-SUM(M36:M57)</f>
        <v>26155038.310199998</v>
      </c>
      <c r="N61" s="1507">
        <f>35000000-SUM(N58:N60)</f>
        <v>21726207</v>
      </c>
      <c r="O61" s="188">
        <f>O33-SUM(O36:O57)</f>
        <v>27724870.342999998</v>
      </c>
      <c r="P61" s="1489">
        <f>41200000-SUM(P58:P60)</f>
        <v>27599675</v>
      </c>
      <c r="Q61" s="1505">
        <f>Q33-SUM(Q36:Q57)</f>
        <v>28323385.174400002</v>
      </c>
      <c r="R61" s="1507">
        <f>39500000-SUM(R58:R60)</f>
        <v>24299968</v>
      </c>
      <c r="S61" s="188"/>
      <c r="T61" s="1489">
        <f>T33-SUM(T36:T57)</f>
        <v>31421553.168826424</v>
      </c>
      <c r="U61" s="1489">
        <f>41200000-SUM(U58:U60)</f>
        <v>25754114</v>
      </c>
      <c r="V61" s="1489"/>
      <c r="W61" s="1490">
        <f>W33-SUM(W36:W57)</f>
        <v>30788820.163595822</v>
      </c>
      <c r="X61" s="1490">
        <f>43000000-SUM(X58:X60)</f>
        <v>26042000</v>
      </c>
    </row>
    <row r="62" spans="1:34">
      <c r="B62" s="12">
        <f>SUM(B15:B29)+B33</f>
        <v>0.5221963416077452</v>
      </c>
      <c r="D62" s="12">
        <f>SUM(B15:B29)+901905</f>
        <v>901905.52219634166</v>
      </c>
      <c r="H62" t="s">
        <v>1381</v>
      </c>
      <c r="I62" s="1505">
        <f t="shared" ref="I62:R62" si="16">SUM(I58:I61)</f>
        <v>36184529.270000003</v>
      </c>
      <c r="J62" s="1507">
        <f t="shared" si="16"/>
        <v>38000000</v>
      </c>
      <c r="K62" s="188">
        <f t="shared" si="16"/>
        <v>35612371.43</v>
      </c>
      <c r="L62" s="1489">
        <f t="shared" si="16"/>
        <v>35000000</v>
      </c>
      <c r="M62" s="1505">
        <f t="shared" si="16"/>
        <v>37624684.969999999</v>
      </c>
      <c r="N62" s="1507">
        <f t="shared" si="16"/>
        <v>35000000</v>
      </c>
      <c r="O62" s="188">
        <f t="shared" si="16"/>
        <v>39798608.119999997</v>
      </c>
      <c r="P62" s="1489">
        <f t="shared" si="16"/>
        <v>41200000</v>
      </c>
      <c r="Q62" s="1505">
        <f t="shared" si="16"/>
        <v>40523919.990000002</v>
      </c>
      <c r="R62" s="1507">
        <f t="shared" si="16"/>
        <v>39500000</v>
      </c>
      <c r="S62" s="188"/>
      <c r="T62" s="1489">
        <f>SUM(T58:T61)</f>
        <v>45055743.720018364</v>
      </c>
      <c r="U62" s="1489">
        <f>SUM(U58:U61)</f>
        <v>41200000</v>
      </c>
      <c r="V62" s="1489"/>
      <c r="W62" s="1490">
        <f>SUM(W58:W61)</f>
        <v>44110248.314787865</v>
      </c>
      <c r="X62" s="1490">
        <f>SUM(X58:X61)</f>
        <v>43000000</v>
      </c>
    </row>
    <row r="63" spans="1:34">
      <c r="B63" s="12" t="e">
        <f>B57-B62</f>
        <v>#VALUE!</v>
      </c>
      <c r="D63" s="12" t="e">
        <f>B57-D62</f>
        <v>#VALUE!</v>
      </c>
      <c r="I63" s="188"/>
      <c r="J63" s="1415"/>
      <c r="K63" s="188"/>
      <c r="L63" s="1415"/>
      <c r="M63" s="188"/>
      <c r="N63" s="1415"/>
      <c r="O63" s="188"/>
      <c r="P63" s="1415"/>
      <c r="Q63" s="188"/>
      <c r="R63" s="188"/>
      <c r="S63" s="188"/>
      <c r="T63" s="188"/>
      <c r="U63" s="188"/>
      <c r="V63" s="188"/>
      <c r="W63" s="188"/>
      <c r="X63" s="188"/>
      <c r="AA63" s="1027"/>
    </row>
    <row r="64" spans="1:34">
      <c r="J64" s="57"/>
      <c r="W64" t="s">
        <v>1441</v>
      </c>
    </row>
    <row r="65" spans="9:16">
      <c r="I65" t="s">
        <v>1442</v>
      </c>
      <c r="J65" s="57"/>
      <c r="L65" s="57"/>
      <c r="N65" s="57"/>
      <c r="P65" s="57"/>
    </row>
  </sheetData>
  <mergeCells count="1">
    <mergeCell ref="C5:D5"/>
  </mergeCells>
  <pageMargins left="0.75" right="0.75" top="1" bottom="1" header="0.5" footer="0.5"/>
  <pageSetup scale="17" orientation="portrait" horizontalDpi="4294967292" verticalDpi="4294967292"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1"/>
  <sheetViews>
    <sheetView workbookViewId="0">
      <selection activeCell="D6" sqref="D6"/>
    </sheetView>
  </sheetViews>
  <sheetFormatPr defaultColWidth="11" defaultRowHeight="15.75"/>
  <cols>
    <col min="2" max="2" width="24.375" customWidth="1"/>
    <col min="3" max="4" width="15.5" customWidth="1"/>
    <col min="5" max="5" width="15.125" customWidth="1"/>
    <col min="7" max="7" width="13.625" customWidth="1"/>
    <col min="8" max="8" width="33.5" customWidth="1"/>
    <col min="9" max="9" width="15.125" customWidth="1"/>
  </cols>
  <sheetData>
    <row r="1" spans="1:9" ht="16.5" thickBot="1">
      <c r="A1" s="1535" t="s">
        <v>1565</v>
      </c>
      <c r="B1" s="1536"/>
      <c r="C1" s="1537"/>
      <c r="D1" s="1537"/>
      <c r="E1" s="1536"/>
    </row>
    <row r="2" spans="1:9" ht="16.5" thickBot="1">
      <c r="A2" s="1538"/>
      <c r="B2" s="1539"/>
      <c r="C2" s="1540" t="s">
        <v>318</v>
      </c>
      <c r="D2" s="1541" t="s">
        <v>1485</v>
      </c>
      <c r="E2" s="1542" t="s">
        <v>1486</v>
      </c>
    </row>
    <row r="3" spans="1:9">
      <c r="A3" s="1963" t="s">
        <v>1487</v>
      </c>
      <c r="B3" s="1543" t="s">
        <v>1488</v>
      </c>
      <c r="C3" s="1544">
        <v>32138534</v>
      </c>
      <c r="D3" s="1545">
        <v>780012</v>
      </c>
      <c r="E3" s="1546">
        <v>32918546</v>
      </c>
    </row>
    <row r="4" spans="1:9">
      <c r="A4" s="1964"/>
      <c r="B4" s="1547" t="s">
        <v>1489</v>
      </c>
      <c r="C4" s="1548">
        <v>6137579</v>
      </c>
      <c r="D4" s="1549">
        <v>1249738</v>
      </c>
      <c r="E4" s="1550">
        <v>7387316</v>
      </c>
      <c r="H4" s="1496" t="s">
        <v>1535</v>
      </c>
      <c r="I4" s="1"/>
    </row>
    <row r="5" spans="1:9" ht="15.95" customHeight="1">
      <c r="A5" s="1964"/>
      <c r="B5" s="1547" t="s">
        <v>1490</v>
      </c>
      <c r="C5" s="1548">
        <v>2372056</v>
      </c>
      <c r="D5" s="1549">
        <v>376535</v>
      </c>
      <c r="E5" s="1550">
        <v>2748591</v>
      </c>
      <c r="H5" s="1" t="s">
        <v>418</v>
      </c>
      <c r="I5" s="1611">
        <v>121198881</v>
      </c>
    </row>
    <row r="6" spans="1:9">
      <c r="A6" s="1964"/>
      <c r="B6" s="1547" t="s">
        <v>1491</v>
      </c>
      <c r="C6" s="1548">
        <v>4420448</v>
      </c>
      <c r="D6" s="1549">
        <v>0</v>
      </c>
      <c r="E6" s="1550">
        <v>4420448</v>
      </c>
      <c r="H6" s="1" t="s">
        <v>1524</v>
      </c>
      <c r="I6" s="1611">
        <v>6451585</v>
      </c>
    </row>
    <row r="7" spans="1:9">
      <c r="A7" s="1964"/>
      <c r="B7" s="1547" t="s">
        <v>1492</v>
      </c>
      <c r="C7" s="1548">
        <v>1054046</v>
      </c>
      <c r="D7" s="1549">
        <v>0</v>
      </c>
      <c r="E7" s="1550">
        <v>1054046</v>
      </c>
      <c r="H7" s="1" t="s">
        <v>1525</v>
      </c>
      <c r="I7" s="1611">
        <v>75495457</v>
      </c>
    </row>
    <row r="8" spans="1:9">
      <c r="A8" s="1964"/>
      <c r="B8" s="1547" t="s">
        <v>1493</v>
      </c>
      <c r="C8" s="1548">
        <v>219703</v>
      </c>
      <c r="D8" s="1549">
        <v>17801</v>
      </c>
      <c r="E8" s="1550">
        <v>237503</v>
      </c>
      <c r="H8" s="1" t="s">
        <v>1526</v>
      </c>
      <c r="I8" s="1611">
        <v>627300</v>
      </c>
    </row>
    <row r="9" spans="1:9">
      <c r="A9" s="1964"/>
      <c r="B9" s="1551" t="s">
        <v>1494</v>
      </c>
      <c r="C9" s="1548">
        <v>4326944</v>
      </c>
      <c r="D9" s="1549">
        <v>92373</v>
      </c>
      <c r="E9" s="1550">
        <v>4419317</v>
      </c>
      <c r="H9" s="1" t="s">
        <v>727</v>
      </c>
      <c r="I9" s="1611">
        <v>2077584</v>
      </c>
    </row>
    <row r="10" spans="1:9" ht="16.5" thickBot="1">
      <c r="A10" s="1964"/>
      <c r="B10" s="1552" t="s">
        <v>1495</v>
      </c>
      <c r="C10" s="1553">
        <v>7346566</v>
      </c>
      <c r="D10" s="1554">
        <v>553725</v>
      </c>
      <c r="E10" s="1555">
        <v>7900290</v>
      </c>
      <c r="H10" s="1" t="s">
        <v>405</v>
      </c>
      <c r="I10" s="1611">
        <v>205850807</v>
      </c>
    </row>
    <row r="11" spans="1:9" ht="16.5" thickBot="1">
      <c r="A11" s="1965"/>
      <c r="B11" s="1556" t="s">
        <v>180</v>
      </c>
      <c r="C11" s="1557">
        <v>58015876</v>
      </c>
      <c r="D11" s="1558">
        <v>3070184</v>
      </c>
      <c r="E11" s="1559">
        <v>61086057</v>
      </c>
      <c r="H11" s="1"/>
      <c r="I11" s="1611"/>
    </row>
    <row r="12" spans="1:9">
      <c r="A12" s="1963" t="s">
        <v>1496</v>
      </c>
      <c r="B12" s="1543" t="s">
        <v>1497</v>
      </c>
      <c r="C12" s="1544">
        <v>8743888</v>
      </c>
      <c r="D12" s="1545">
        <v>109276</v>
      </c>
      <c r="E12" s="1546">
        <v>8853164</v>
      </c>
      <c r="H12" s="1496" t="s">
        <v>1527</v>
      </c>
      <c r="I12" s="1"/>
    </row>
    <row r="13" spans="1:9">
      <c r="A13" s="1964"/>
      <c r="B13" s="1547" t="s">
        <v>1498</v>
      </c>
      <c r="C13" s="1548">
        <v>22516740</v>
      </c>
      <c r="D13" s="1549">
        <v>962555</v>
      </c>
      <c r="E13" s="1550">
        <v>23479295</v>
      </c>
      <c r="H13" s="1" t="s">
        <v>1528</v>
      </c>
      <c r="I13" s="1611">
        <v>661808</v>
      </c>
    </row>
    <row r="14" spans="1:9" ht="15.95" customHeight="1">
      <c r="A14" s="1964"/>
      <c r="B14" s="1547" t="s">
        <v>1499</v>
      </c>
      <c r="C14" s="1548">
        <v>3563031</v>
      </c>
      <c r="D14" s="1549">
        <v>264957</v>
      </c>
      <c r="E14" s="1550">
        <v>3827987</v>
      </c>
      <c r="H14" s="1" t="s">
        <v>1529</v>
      </c>
      <c r="I14" s="1611">
        <v>263888</v>
      </c>
    </row>
    <row r="15" spans="1:9" ht="16.5" thickBot="1">
      <c r="A15" s="1964"/>
      <c r="B15" s="592" t="s">
        <v>1500</v>
      </c>
      <c r="C15" s="1553">
        <v>6431844</v>
      </c>
      <c r="D15" s="1554">
        <v>0</v>
      </c>
      <c r="E15" s="1555">
        <v>6431844</v>
      </c>
      <c r="H15" s="1" t="s">
        <v>1530</v>
      </c>
      <c r="I15" s="1611">
        <v>330905</v>
      </c>
    </row>
    <row r="16" spans="1:9" ht="16.5" thickBot="1">
      <c r="A16" s="1965"/>
      <c r="B16" s="1556" t="s">
        <v>180</v>
      </c>
      <c r="C16" s="1557">
        <v>41255503</v>
      </c>
      <c r="D16" s="1558">
        <v>1336788</v>
      </c>
      <c r="E16" s="1559">
        <v>42592290</v>
      </c>
      <c r="H16" s="1" t="s">
        <v>1531</v>
      </c>
      <c r="I16" s="1611">
        <v>213076</v>
      </c>
    </row>
    <row r="17" spans="1:9">
      <c r="A17" s="1966" t="s">
        <v>1501</v>
      </c>
      <c r="B17" s="1543" t="s">
        <v>1502</v>
      </c>
      <c r="C17" s="1544">
        <v>0</v>
      </c>
      <c r="D17" s="1545">
        <v>2780225</v>
      </c>
      <c r="E17" s="1546">
        <v>2780225</v>
      </c>
      <c r="H17" s="1" t="s">
        <v>1532</v>
      </c>
      <c r="I17" s="1611">
        <v>167020</v>
      </c>
    </row>
    <row r="18" spans="1:9">
      <c r="A18" s="1967"/>
      <c r="B18" s="1547" t="s">
        <v>1503</v>
      </c>
      <c r="C18" s="1548">
        <v>11674737</v>
      </c>
      <c r="D18" s="1549">
        <v>14434</v>
      </c>
      <c r="E18" s="1550">
        <v>11689171</v>
      </c>
      <c r="H18" s="1" t="s">
        <v>1219</v>
      </c>
      <c r="I18" s="1611">
        <v>1814888</v>
      </c>
    </row>
    <row r="19" spans="1:9" ht="15.95" customHeight="1">
      <c r="A19" s="1967"/>
      <c r="B19" s="1547" t="s">
        <v>1504</v>
      </c>
      <c r="C19" s="1548">
        <v>2989392</v>
      </c>
      <c r="D19" s="1549">
        <v>0</v>
      </c>
      <c r="E19" s="1550">
        <v>2989392</v>
      </c>
      <c r="H19" s="1" t="s">
        <v>1533</v>
      </c>
      <c r="I19" s="1611">
        <v>3000000</v>
      </c>
    </row>
    <row r="20" spans="1:9" ht="16.5" thickBot="1">
      <c r="A20" s="1967"/>
      <c r="B20" s="592" t="s">
        <v>1505</v>
      </c>
      <c r="C20" s="1560">
        <v>0</v>
      </c>
      <c r="D20" s="1561">
        <v>0</v>
      </c>
      <c r="E20" s="1562">
        <v>0</v>
      </c>
      <c r="H20" s="1" t="s">
        <v>405</v>
      </c>
      <c r="I20" s="1611">
        <v>6451585</v>
      </c>
    </row>
    <row r="21" spans="1:9" ht="16.5" thickBot="1">
      <c r="A21" s="1968"/>
      <c r="B21" s="1563" t="s">
        <v>1506</v>
      </c>
      <c r="C21" s="1564">
        <v>14664129</v>
      </c>
      <c r="D21" s="1565">
        <v>2794659</v>
      </c>
      <c r="E21" s="1566">
        <v>17458788</v>
      </c>
      <c r="H21" s="1"/>
      <c r="I21" s="1611"/>
    </row>
    <row r="22" spans="1:9">
      <c r="A22" s="1963" t="s">
        <v>1507</v>
      </c>
      <c r="B22" s="1567" t="s">
        <v>1508</v>
      </c>
      <c r="C22" s="1568"/>
      <c r="D22" s="1569"/>
      <c r="E22" s="1570">
        <v>114798772</v>
      </c>
      <c r="H22" s="1496" t="s">
        <v>1534</v>
      </c>
      <c r="I22" s="1"/>
    </row>
    <row r="23" spans="1:9" ht="16.5" thickBot="1">
      <c r="A23" s="1964"/>
      <c r="B23" s="1571" t="s">
        <v>1509</v>
      </c>
      <c r="C23" s="1572">
        <v>113935508</v>
      </c>
      <c r="D23" s="1573">
        <v>7201631</v>
      </c>
      <c r="E23" s="1574">
        <v>121137135</v>
      </c>
      <c r="H23" s="1613" t="s">
        <v>1536</v>
      </c>
      <c r="I23" s="1611">
        <v>33705320</v>
      </c>
    </row>
    <row r="24" spans="1:9" ht="16.5" thickBot="1">
      <c r="A24" s="1964"/>
      <c r="B24" s="1556" t="s">
        <v>1510</v>
      </c>
      <c r="C24" s="1575"/>
      <c r="D24" s="1576"/>
      <c r="E24" s="1577">
        <v>5.521281185830107E-2</v>
      </c>
      <c r="H24" s="1" t="s">
        <v>1537</v>
      </c>
      <c r="I24" s="1611">
        <v>24335875</v>
      </c>
    </row>
    <row r="25" spans="1:9">
      <c r="A25" s="1964"/>
      <c r="B25" s="1578" t="s">
        <v>1511</v>
      </c>
      <c r="C25" s="1579"/>
      <c r="D25" s="1580"/>
      <c r="E25" s="1581">
        <v>0</v>
      </c>
      <c r="H25" s="1" t="s">
        <v>1538</v>
      </c>
      <c r="I25" s="1611">
        <v>12240000</v>
      </c>
    </row>
    <row r="26" spans="1:9" ht="16.5" thickBot="1">
      <c r="A26" s="1964"/>
      <c r="B26" s="1582" t="s">
        <v>1512</v>
      </c>
      <c r="C26" s="1583"/>
      <c r="D26" s="1584"/>
      <c r="E26" s="1585">
        <v>0</v>
      </c>
      <c r="H26" s="1" t="s">
        <v>1539</v>
      </c>
      <c r="I26" s="1611">
        <v>5214262</v>
      </c>
    </row>
    <row r="27" spans="1:9">
      <c r="A27" s="1964"/>
      <c r="B27" s="1586" t="s">
        <v>1513</v>
      </c>
      <c r="C27" s="1583"/>
      <c r="D27" s="1584"/>
      <c r="E27" s="1587">
        <v>121137135</v>
      </c>
      <c r="H27" s="1"/>
      <c r="I27" s="1611">
        <f>SUM(I23:I26)</f>
        <v>75495457</v>
      </c>
    </row>
    <row r="28" spans="1:9" ht="16.5" thickBot="1">
      <c r="A28" s="1964"/>
      <c r="B28" s="1588" t="s">
        <v>1514</v>
      </c>
      <c r="C28" s="1589"/>
      <c r="D28" s="1590"/>
      <c r="E28" s="1591">
        <v>5.521281185830107E-2</v>
      </c>
      <c r="H28" s="1"/>
      <c r="I28" s="1"/>
    </row>
    <row r="29" spans="1:9">
      <c r="A29" s="1964"/>
      <c r="B29" s="1592" t="s">
        <v>1515</v>
      </c>
      <c r="C29" s="1583"/>
      <c r="D29" s="1584"/>
      <c r="E29" s="1593">
        <v>0</v>
      </c>
      <c r="H29" s="1496" t="s">
        <v>1540</v>
      </c>
      <c r="I29" s="1"/>
    </row>
    <row r="30" spans="1:9" ht="16.5" thickBot="1">
      <c r="A30" s="1964"/>
      <c r="B30" s="1582" t="s">
        <v>1516</v>
      </c>
      <c r="C30" s="1583"/>
      <c r="D30" s="1584"/>
      <c r="E30" s="1585">
        <v>0</v>
      </c>
      <c r="H30" s="1" t="s">
        <v>1542</v>
      </c>
      <c r="I30" s="1"/>
    </row>
    <row r="31" spans="1:9">
      <c r="A31" s="1964"/>
      <c r="B31" s="1594" t="s">
        <v>1517</v>
      </c>
      <c r="C31" s="1595"/>
      <c r="D31" s="1596"/>
      <c r="E31" s="1597">
        <v>121137135</v>
      </c>
      <c r="H31" s="1" t="s">
        <v>1541</v>
      </c>
      <c r="I31" s="1611">
        <v>132600</v>
      </c>
    </row>
    <row r="32" spans="1:9" ht="16.5" thickBot="1">
      <c r="A32" s="1964"/>
      <c r="B32" s="1598" t="s">
        <v>1518</v>
      </c>
      <c r="C32" s="1599"/>
      <c r="D32" s="1600"/>
      <c r="E32" s="1601">
        <v>5.521281185830107E-2</v>
      </c>
      <c r="H32" s="1" t="s">
        <v>1543</v>
      </c>
      <c r="I32" s="1611">
        <v>290700</v>
      </c>
    </row>
    <row r="33" spans="1:9">
      <c r="A33" s="1964"/>
      <c r="B33" s="1602" t="s">
        <v>1519</v>
      </c>
      <c r="C33" s="1583"/>
      <c r="D33" s="1584"/>
      <c r="E33" s="1603">
        <v>-6338363</v>
      </c>
      <c r="H33" s="1" t="s">
        <v>1544</v>
      </c>
      <c r="I33" s="1611">
        <v>142800</v>
      </c>
    </row>
    <row r="34" spans="1:9">
      <c r="A34" s="1964"/>
      <c r="B34" s="1604" t="s">
        <v>1520</v>
      </c>
      <c r="C34" s="1583"/>
      <c r="D34" s="1584"/>
      <c r="E34" s="1605">
        <v>0</v>
      </c>
      <c r="H34" s="1496" t="s">
        <v>1545</v>
      </c>
      <c r="I34" s="1612" t="s">
        <v>1546</v>
      </c>
    </row>
    <row r="35" spans="1:9">
      <c r="A35" s="1964"/>
      <c r="B35" s="1604" t="s">
        <v>1521</v>
      </c>
      <c r="C35" s="1583"/>
      <c r="D35" s="1584"/>
      <c r="E35" s="1605">
        <v>-59386652.927099347</v>
      </c>
      <c r="H35" s="1"/>
      <c r="I35" s="1"/>
    </row>
    <row r="36" spans="1:9">
      <c r="A36" s="1964"/>
      <c r="B36" s="1604" t="s">
        <v>1522</v>
      </c>
      <c r="C36" s="1589"/>
      <c r="D36" s="1590"/>
      <c r="E36" s="1606">
        <v>0</v>
      </c>
      <c r="H36" s="1496" t="s">
        <v>1547</v>
      </c>
      <c r="I36" s="1"/>
    </row>
    <row r="37" spans="1:9" ht="16.5" thickBot="1">
      <c r="A37" s="1965"/>
      <c r="B37" s="1607" t="s">
        <v>1523</v>
      </c>
      <c r="C37" s="1608"/>
      <c r="D37" s="1609"/>
      <c r="E37" s="1610">
        <v>0.57252368454864089</v>
      </c>
      <c r="H37" s="1" t="s">
        <v>1548</v>
      </c>
      <c r="I37" s="1611">
        <v>515000</v>
      </c>
    </row>
    <row r="38" spans="1:9">
      <c r="H38" s="1" t="s">
        <v>1549</v>
      </c>
      <c r="I38" s="1611">
        <v>1072584</v>
      </c>
    </row>
    <row r="39" spans="1:9">
      <c r="H39" s="1" t="s">
        <v>1550</v>
      </c>
      <c r="I39" s="1611">
        <v>490000</v>
      </c>
    </row>
    <row r="40" spans="1:9">
      <c r="H40" s="1" t="s">
        <v>405</v>
      </c>
      <c r="I40" s="1611">
        <v>2077584</v>
      </c>
    </row>
    <row r="41" spans="1:9">
      <c r="H41" s="1"/>
      <c r="I41" s="1"/>
    </row>
  </sheetData>
  <mergeCells count="4">
    <mergeCell ref="A3:A11"/>
    <mergeCell ref="A12:A16"/>
    <mergeCell ref="A17:A21"/>
    <mergeCell ref="A22:A37"/>
  </mergeCell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7"/>
  <sheetViews>
    <sheetView workbookViewId="0">
      <selection activeCell="H5" sqref="H5"/>
    </sheetView>
  </sheetViews>
  <sheetFormatPr defaultColWidth="11" defaultRowHeight="15.75"/>
  <cols>
    <col min="1" max="1" width="45" customWidth="1"/>
    <col min="2" max="10" width="13.5" customWidth="1"/>
    <col min="11" max="11" width="16.625" customWidth="1"/>
    <col min="12" max="12" width="12.625" customWidth="1"/>
    <col min="13" max="13" width="4" customWidth="1"/>
    <col min="14" max="14" width="13.625" bestFit="1" customWidth="1"/>
    <col min="15" max="15" width="13.125" customWidth="1"/>
    <col min="16" max="16" width="13.375" customWidth="1"/>
    <col min="17" max="17" width="15.125" bestFit="1" customWidth="1"/>
    <col min="21" max="21" width="11.5" bestFit="1" customWidth="1"/>
  </cols>
  <sheetData>
    <row r="1" spans="1:21" ht="18.75">
      <c r="A1" s="192" t="s">
        <v>261</v>
      </c>
      <c r="G1" s="192" t="s">
        <v>262</v>
      </c>
      <c r="I1" s="10"/>
    </row>
    <row r="3" spans="1:21">
      <c r="A3" s="895" t="s">
        <v>263</v>
      </c>
      <c r="B3" s="896" t="s">
        <v>1588</v>
      </c>
      <c r="C3" s="223"/>
      <c r="D3" s="223"/>
      <c r="E3" s="223"/>
      <c r="G3" t="s">
        <v>1360</v>
      </c>
    </row>
    <row r="4" spans="1:21">
      <c r="A4" s="235" t="s">
        <v>266</v>
      </c>
      <c r="B4" s="236">
        <f>'Step 0 FY20 Revenue'!L59-'Step 0 FY20 Revenue'!L45</f>
        <v>641727969.57626891</v>
      </c>
      <c r="G4" t="s">
        <v>1928</v>
      </c>
    </row>
    <row r="5" spans="1:21">
      <c r="A5" s="235" t="s">
        <v>264</v>
      </c>
      <c r="B5" s="236">
        <f>'Step 0 FY20 Revenue'!L45</f>
        <v>-44311743</v>
      </c>
    </row>
    <row r="6" spans="1:21">
      <c r="A6" s="897" t="s">
        <v>265</v>
      </c>
      <c r="B6" s="898">
        <f>B4+B5</f>
        <v>597416226.57626891</v>
      </c>
    </row>
    <row r="7" spans="1:21" ht="30" customHeight="1">
      <c r="A7" s="161"/>
      <c r="B7" s="1930" t="s">
        <v>777</v>
      </c>
      <c r="C7" s="1927" t="s">
        <v>267</v>
      </c>
      <c r="D7" s="1928"/>
      <c r="E7" s="1928"/>
      <c r="F7" s="1929"/>
      <c r="G7" s="1932" t="s">
        <v>307</v>
      </c>
      <c r="H7" s="1933"/>
      <c r="I7" s="1933"/>
      <c r="J7" s="1934"/>
      <c r="K7" s="161"/>
      <c r="L7" s="161"/>
    </row>
    <row r="8" spans="1:21" ht="51">
      <c r="A8" s="224"/>
      <c r="B8" s="1931"/>
      <c r="C8" s="227" t="s">
        <v>309</v>
      </c>
      <c r="D8" s="227" t="s">
        <v>310</v>
      </c>
      <c r="E8" s="227" t="s">
        <v>311</v>
      </c>
      <c r="F8" s="227" t="s">
        <v>312</v>
      </c>
      <c r="G8" s="227" t="s">
        <v>782</v>
      </c>
      <c r="H8" s="227" t="s">
        <v>313</v>
      </c>
      <c r="I8" s="233" t="s">
        <v>789</v>
      </c>
      <c r="J8" s="233" t="s">
        <v>779</v>
      </c>
      <c r="K8" s="233" t="s">
        <v>13</v>
      </c>
      <c r="L8" s="233" t="s">
        <v>270</v>
      </c>
      <c r="M8" s="161"/>
    </row>
    <row r="9" spans="1:21">
      <c r="A9" s="161"/>
      <c r="B9" s="161"/>
      <c r="C9" s="161"/>
      <c r="D9" s="161"/>
      <c r="E9" s="161"/>
      <c r="F9" s="161"/>
      <c r="G9" s="161"/>
      <c r="H9" s="161"/>
      <c r="I9" s="161"/>
      <c r="J9" s="161"/>
      <c r="K9" s="161"/>
      <c r="L9" s="161"/>
      <c r="M9" s="161"/>
    </row>
    <row r="10" spans="1:21">
      <c r="A10" s="1294" t="s">
        <v>269</v>
      </c>
      <c r="B10" s="225"/>
      <c r="C10" s="225"/>
      <c r="D10" s="225"/>
      <c r="E10" s="225"/>
      <c r="F10" s="225"/>
      <c r="G10" s="225"/>
      <c r="H10" s="225"/>
      <c r="I10" s="225"/>
      <c r="J10" s="225"/>
      <c r="K10" s="225"/>
      <c r="L10" s="225"/>
      <c r="M10" s="161"/>
    </row>
    <row r="11" spans="1:21" ht="17.100000000000001" customHeight="1">
      <c r="A11" s="162" t="s">
        <v>787</v>
      </c>
      <c r="B11" s="888"/>
      <c r="C11" s="888"/>
      <c r="D11" s="888"/>
      <c r="E11" s="888"/>
      <c r="F11" s="888"/>
      <c r="G11" s="888">
        <f>'Step 7 Final Adjustments'!R12</f>
        <v>25061646.77</v>
      </c>
      <c r="H11" s="888"/>
      <c r="I11" s="888"/>
      <c r="J11" s="888">
        <f>SUM('Step 7 Final Adjustments'!B6,'Step 7 Final Adjustments'!B7,'Step 7 Final Adjustments'!G6,'Step 7 Final Adjustments'!G7,'Step 7 Final Adjustments'!G8)</f>
        <v>-1628095.1100382209</v>
      </c>
      <c r="K11" s="891">
        <f t="shared" ref="K11:K17" si="0">SUM(B11:J11)</f>
        <v>23433551.659961779</v>
      </c>
      <c r="L11" s="893">
        <f>K11/B$6</f>
        <v>3.9224832901270622E-2</v>
      </c>
      <c r="M11" s="161"/>
    </row>
    <row r="12" spans="1:21" ht="17.100000000000001" customHeight="1">
      <c r="A12" s="162" t="s">
        <v>268</v>
      </c>
      <c r="B12" s="888">
        <f>SUM('Step 7 Final Adjustments'!K16:L28)+'Step 7 Final Adjustments'!K34+'Step 7 Final Adjustments'!L34+'Step 7 Final Adjustments'!K49+'Step 7 Final Adjustments'!L49+'Step 7 Final Adjustments'!K29+'Step 7 Final Adjustments'!L29+'Step 7 Final Adjustments'!L30</f>
        <v>96096041.97176376</v>
      </c>
      <c r="C12" s="888">
        <f>SUM('Step 7 Final Adjustments'!K27,'Step 7 Final Adjustments'!L27,'Step 7 Final Adjustments'!K31,'Step 7 Final Adjustments'!L31,'Step 7 Final Adjustments'!K33,'Step 7 Final Adjustments'!L33,'Step 7 Final Adjustments'!K47,'Step 7 Final Adjustments'!L47,'Step 7 Final Adjustments'!K48,'Step 7 Final Adjustments'!L48,'Step 7 Final Adjustments'!K50,'Step 7 Final Adjustments'!L50)</f>
        <v>10764212.279999999</v>
      </c>
      <c r="D12" s="888">
        <f>SUM('Step 7 Final Adjustments'!K44,'Step 7 Final Adjustments'!L44,'Step 7 Final Adjustments'!K45,'Step 7 Final Adjustments'!L45,'Step 7 Final Adjustments'!K46,'Step 7 Final Adjustments'!L46,'Step 7 Final Adjustments'!K51,'Step 7 Final Adjustments'!L51)</f>
        <v>6331744.4620000003</v>
      </c>
      <c r="E12" s="888">
        <f>SUM('Step 7 Final Adjustments'!K54:L57)</f>
        <v>10152620</v>
      </c>
      <c r="F12" s="888">
        <f>SUM('Step 7 Final Adjustments'!K41,'Step 7 Final Adjustments'!L41,'Step 7 Final Adjustments'!K52,'Step 7 Final Adjustments'!L52,'Step 7 Final Adjustments'!K53,'Step 7 Final Adjustments'!L53)</f>
        <v>4332014</v>
      </c>
      <c r="G12" s="888"/>
      <c r="H12" s="888">
        <f>SUM('Step 7 Final Adjustments'!K39,'Step 7 Final Adjustments'!L39,'Step 7 Final Adjustments'!K42,'Step 7 Final Adjustments'!L42,'Step 7 Final Adjustments'!K43,'Step 7 Final Adjustments'!L43)</f>
        <v>0</v>
      </c>
      <c r="I12" s="888"/>
      <c r="J12" s="888">
        <f>SUM('Step 7 Final Adjustments'!K6:L8)</f>
        <v>6572900</v>
      </c>
      <c r="K12" s="891">
        <f t="shared" si="0"/>
        <v>134249532.71376377</v>
      </c>
      <c r="L12" s="893">
        <f t="shared" ref="L12:L17" si="1">K12/B$6</f>
        <v>0.22471691718709094</v>
      </c>
      <c r="M12" s="161"/>
      <c r="U12" s="174"/>
    </row>
    <row r="13" spans="1:21" ht="17.100000000000001" customHeight="1">
      <c r="A13" s="162" t="s">
        <v>714</v>
      </c>
      <c r="B13" s="162"/>
      <c r="C13" s="162"/>
      <c r="D13" s="162"/>
      <c r="E13" s="162"/>
      <c r="F13" s="162"/>
      <c r="G13" s="162"/>
      <c r="H13" s="162"/>
      <c r="I13" s="162"/>
      <c r="J13" s="167">
        <f>'Step 7 Final Adjustments'!L9</f>
        <v>13000000</v>
      </c>
      <c r="K13" s="891">
        <f t="shared" si="0"/>
        <v>13000000</v>
      </c>
      <c r="L13" s="893">
        <f>K13/B$6</f>
        <v>2.1760373122942551E-2</v>
      </c>
      <c r="M13" s="161"/>
      <c r="U13" s="174"/>
    </row>
    <row r="14" spans="1:21" ht="17.100000000000001" customHeight="1">
      <c r="A14" s="162" t="s">
        <v>788</v>
      </c>
      <c r="B14" s="888"/>
      <c r="C14" s="888"/>
      <c r="D14" s="888"/>
      <c r="E14" s="888"/>
      <c r="F14" s="888"/>
      <c r="G14" s="888"/>
      <c r="H14" s="888">
        <f>'Step 7 Final Adjustments'!D39+'Step 7 Final Adjustments'!D42+'Step 7 Final Adjustments'!D43</f>
        <v>12907696</v>
      </c>
      <c r="I14" s="888"/>
      <c r="J14" s="888"/>
      <c r="K14" s="891">
        <f t="shared" si="0"/>
        <v>12907696</v>
      </c>
      <c r="L14" s="893">
        <f t="shared" si="1"/>
        <v>2.1605867778270237E-2</v>
      </c>
      <c r="M14" s="161"/>
    </row>
    <row r="15" spans="1:21" ht="17.100000000000001" customHeight="1">
      <c r="A15" s="162" t="s">
        <v>1317</v>
      </c>
      <c r="B15" s="888">
        <f>SUM('Step 7 Final Adjustments'!C20,'Step 7 Final Adjustments'!C22,'Step 7 Final Adjustments'!C23,'Step 7 Final Adjustments'!C25,'Step 7 Final Adjustments'!C26)</f>
        <v>1810866</v>
      </c>
      <c r="C15" s="888">
        <f>SUM('Step 7 Final Adjustments'!C47,'Step 7 Final Adjustments'!C48,'Step 7 Final Adjustments'!C50,'Step 7 Final Adjustments'!O47)+'Step 7 Final Adjustments'!O31+'Step 7 Final Adjustments'!O33+0</f>
        <v>930050</v>
      </c>
      <c r="D15" s="888">
        <f>SUM('Step 7 Final Adjustments'!O44,'Step 7 Final Adjustments'!O45,'Step 7 Final Adjustments'!O51)</f>
        <v>0</v>
      </c>
      <c r="E15" s="888">
        <f>'Step 7 Final Adjustments'!C56</f>
        <v>0</v>
      </c>
      <c r="F15" s="888">
        <f>SUM('Step 7 Final Adjustments'!O55,'Step 7 Final Adjustments'!C55,'Step 7 Final Adjustments'!C54,'Step 7 Final Adjustments'!C53,'Step 7 Final Adjustments'!C41)</f>
        <v>0</v>
      </c>
      <c r="G15" s="888"/>
      <c r="H15" s="888">
        <f>SUM('Step 7 Final Adjustments'!C39,'Step 7 Final Adjustments'!C43,'Step 7 Final Adjustments'!C40)</f>
        <v>7770000</v>
      </c>
      <c r="I15" s="888">
        <f>'Step 7 Final Adjustments'!C7</f>
        <v>3222680</v>
      </c>
      <c r="J15" s="888">
        <f>'Step 7 Final Adjustments'!C8</f>
        <v>-1785271.468474621</v>
      </c>
      <c r="K15" s="891">
        <f t="shared" si="0"/>
        <v>11948324.531525379</v>
      </c>
      <c r="L15" s="893">
        <f t="shared" si="1"/>
        <v>0.02</v>
      </c>
      <c r="M15" s="161"/>
      <c r="O15" s="12"/>
    </row>
    <row r="16" spans="1:21" ht="17.100000000000001" customHeight="1">
      <c r="A16" s="162" t="s">
        <v>1318</v>
      </c>
      <c r="B16" s="888">
        <f>SUM('Step 7 Final Adjustments'!E16:E34)</f>
        <v>22006904</v>
      </c>
      <c r="C16" s="888"/>
      <c r="D16" s="888"/>
      <c r="E16" s="888"/>
      <c r="F16" s="888"/>
      <c r="G16" s="888"/>
      <c r="H16" s="888"/>
      <c r="I16" s="888"/>
      <c r="J16" s="888">
        <f>'Step 7 Final Adjustments'!E8</f>
        <v>0</v>
      </c>
      <c r="K16" s="891">
        <f t="shared" si="0"/>
        <v>22006904</v>
      </c>
      <c r="L16" s="893">
        <f>K16/B$6</f>
        <v>3.6836803255444382E-2</v>
      </c>
      <c r="M16" s="161"/>
      <c r="O16" s="12"/>
    </row>
    <row r="17" spans="1:16" ht="17.100000000000001" customHeight="1">
      <c r="A17" s="162" t="s">
        <v>783</v>
      </c>
      <c r="B17" s="888">
        <f>'Step 7 Final Adjustments'!B10</f>
        <v>17319704</v>
      </c>
      <c r="C17" s="888"/>
      <c r="D17" s="888"/>
      <c r="E17" s="888"/>
      <c r="F17" s="888"/>
      <c r="G17" s="888"/>
      <c r="H17" s="888"/>
      <c r="I17" s="888"/>
      <c r="J17" s="888">
        <f>'Step 7 Final Adjustments'!B11</f>
        <v>4500000</v>
      </c>
      <c r="K17" s="891">
        <f t="shared" si="0"/>
        <v>21819704</v>
      </c>
      <c r="L17" s="892">
        <f t="shared" si="1"/>
        <v>3.6523453882474008E-2</v>
      </c>
      <c r="M17" s="161"/>
      <c r="O17" s="12"/>
    </row>
    <row r="18" spans="1:16" ht="17.100000000000001" customHeight="1">
      <c r="A18" s="162"/>
      <c r="B18" s="888"/>
      <c r="C18" s="888"/>
      <c r="D18" s="888"/>
      <c r="E18" s="888"/>
      <c r="F18" s="888"/>
      <c r="G18" s="888"/>
      <c r="H18" s="888"/>
      <c r="I18" s="888"/>
      <c r="J18" s="888"/>
      <c r="K18" s="891"/>
      <c r="L18" s="892"/>
      <c r="M18" s="161"/>
      <c r="O18" s="12"/>
    </row>
    <row r="19" spans="1:16" ht="17.100000000000001" customHeight="1">
      <c r="A19" s="1294" t="s">
        <v>287</v>
      </c>
      <c r="B19" s="225"/>
      <c r="C19" s="225"/>
      <c r="D19" s="225"/>
      <c r="E19" s="225"/>
      <c r="F19" s="225"/>
      <c r="G19" s="225"/>
      <c r="H19" s="225"/>
      <c r="I19" s="225"/>
      <c r="J19" s="225"/>
      <c r="K19" s="225"/>
      <c r="L19" s="225"/>
      <c r="M19" s="161"/>
      <c r="O19" s="12"/>
    </row>
    <row r="20" spans="1:16" ht="17.100000000000001" customHeight="1">
      <c r="A20" s="162" t="s">
        <v>271</v>
      </c>
      <c r="B20" s="162"/>
      <c r="C20" s="162"/>
      <c r="D20" s="162"/>
      <c r="E20" s="162"/>
      <c r="F20" s="162"/>
      <c r="G20" s="162"/>
      <c r="H20" s="162"/>
      <c r="I20" s="162"/>
      <c r="J20" s="162"/>
      <c r="K20" s="162"/>
      <c r="L20" s="161"/>
      <c r="M20" s="161"/>
      <c r="O20" s="12"/>
    </row>
    <row r="21" spans="1:16" ht="17.100000000000001" customHeight="1">
      <c r="A21" s="1293" t="s">
        <v>280</v>
      </c>
      <c r="B21" s="888">
        <f>SUM('Step 3 Acad Product &amp; Pools'!L16:L28)+SUM('Step 3 Acad Product &amp; Pools'!L32,'Step 3 Acad Product &amp; Pools'!L49,'Step 3 Acad Product &amp; Pools'!L34)</f>
        <v>69115412.091267839</v>
      </c>
      <c r="C21" s="888">
        <f>SUM('Step 3 Acad Product &amp; Pools'!L31)</f>
        <v>0</v>
      </c>
      <c r="D21" s="888">
        <f>'Step 3 Acad Product &amp; Pools'!L45</f>
        <v>476176.44899038284</v>
      </c>
      <c r="E21" s="888"/>
      <c r="F21" s="888"/>
      <c r="G21" s="888"/>
      <c r="H21" s="888"/>
      <c r="I21" s="888"/>
      <c r="J21" s="888"/>
      <c r="K21" s="891">
        <f t="shared" ref="K21:K26" si="2">SUM(B21:J21)</f>
        <v>69591588.540258229</v>
      </c>
      <c r="L21" s="893">
        <f t="shared" ref="L21:L26" si="3">K21/B$6</f>
        <v>0.11648761021956247</v>
      </c>
      <c r="M21" s="161"/>
      <c r="O21" s="12"/>
    </row>
    <row r="22" spans="1:16" ht="17.100000000000001" customHeight="1">
      <c r="A22" s="1293" t="s">
        <v>281</v>
      </c>
      <c r="B22" s="888">
        <f>SUM('Step 3 Acad Product &amp; Pools'!M16:M28)</f>
        <v>41387989.474827394</v>
      </c>
      <c r="C22" s="888"/>
      <c r="D22" s="888">
        <v>0</v>
      </c>
      <c r="E22" s="888"/>
      <c r="F22" s="888"/>
      <c r="G22" s="888"/>
      <c r="H22" s="888"/>
      <c r="I22" s="888"/>
      <c r="J22" s="888"/>
      <c r="K22" s="891">
        <f t="shared" si="2"/>
        <v>41387989.474827394</v>
      </c>
      <c r="L22" s="893">
        <f t="shared" si="3"/>
        <v>6.9278314906204869E-2</v>
      </c>
      <c r="M22" s="161"/>
      <c r="O22" s="12"/>
    </row>
    <row r="23" spans="1:16" ht="17.100000000000001" customHeight="1">
      <c r="A23" s="1293" t="s">
        <v>282</v>
      </c>
      <c r="B23" s="888">
        <f>SUM('Step 3 Acad Product &amp; Pools'!Q16:Q33)</f>
        <v>31836914.980636451</v>
      </c>
      <c r="C23" s="888"/>
      <c r="D23" s="888"/>
      <c r="E23" s="888"/>
      <c r="F23" s="888"/>
      <c r="G23" s="888"/>
      <c r="H23" s="888"/>
      <c r="I23" s="888"/>
      <c r="J23" s="888"/>
      <c r="K23" s="891">
        <f t="shared" si="2"/>
        <v>31836914.980636451</v>
      </c>
      <c r="L23" s="893">
        <f t="shared" si="3"/>
        <v>5.3291011466311426E-2</v>
      </c>
      <c r="M23" s="161"/>
      <c r="O23" s="12"/>
    </row>
    <row r="24" spans="1:16" ht="17.100000000000001" customHeight="1">
      <c r="A24" s="1293" t="s">
        <v>283</v>
      </c>
      <c r="B24" s="888">
        <f>SUM('Step 3 Acad Product &amp; Pools'!N16:N28)+'Step 3 Acad Product &amp; Pools'!N32</f>
        <v>61156448.238398336</v>
      </c>
      <c r="C24" s="888">
        <f>SUM('Step 3 Acad Product &amp; Pools'!N31)</f>
        <v>0</v>
      </c>
      <c r="D24" s="888">
        <f>'Step 3 Acad Product &amp; Pools'!N45</f>
        <v>122753.29593494974</v>
      </c>
      <c r="E24" s="888"/>
      <c r="F24" s="888"/>
      <c r="G24" s="888"/>
      <c r="H24" s="888"/>
      <c r="I24" s="888"/>
      <c r="J24" s="888"/>
      <c r="K24" s="891">
        <f t="shared" si="2"/>
        <v>61279201.534333289</v>
      </c>
      <c r="L24" s="893">
        <f t="shared" si="3"/>
        <v>0.10257371462023739</v>
      </c>
      <c r="M24" s="161"/>
      <c r="O24" s="12"/>
    </row>
    <row r="25" spans="1:16" ht="17.100000000000001" customHeight="1">
      <c r="A25" s="1293" t="s">
        <v>284</v>
      </c>
      <c r="B25" s="888">
        <f>SUM('Step 3 Acad Product &amp; Pools'!O16:O26)+'Step 3 Acad Product &amp; Pools'!O34+'Step 3 Acad Product &amp; Pools'!O49</f>
        <v>7896931.6971132495</v>
      </c>
      <c r="C25" s="888">
        <f>SUM('Step 3 Acad Product &amp; Pools'!O31,'Step 3 Acad Product &amp; Pools'!O33,'Step 3 Acad Product &amp; Pools'!O47,'Step 3 Acad Product &amp; Pools'!O48,'Step 3 Acad Product &amp; Pools'!O50)</f>
        <v>2412.0921218174003</v>
      </c>
      <c r="D25" s="888">
        <f>SUM('Step 3 Acad Product &amp; Pools'!O44,'Step 3 Acad Product &amp; Pools'!O45,'Step 3 Acad Product &amp; Pools'!O46,'Step 3 Acad Product &amp; Pools'!O51)</f>
        <v>59442.56818891791</v>
      </c>
      <c r="E25" s="888">
        <f>SUM('Step 3 Acad Product &amp; Pools'!O54:O57)</f>
        <v>435.06190005183799</v>
      </c>
      <c r="F25" s="888">
        <f>SUM('Step 3 Acad Product &amp; Pools'!O53,'Step 3 Acad Product &amp; Pools'!O52)</f>
        <v>0</v>
      </c>
      <c r="G25" s="888"/>
      <c r="H25" s="888">
        <f>'Step 3 Acad Product &amp; Pools'!O39</f>
        <v>7.3258350761008657</v>
      </c>
      <c r="I25" s="888"/>
      <c r="J25" s="888"/>
      <c r="K25" s="891">
        <f t="shared" si="2"/>
        <v>7959228.7451591128</v>
      </c>
      <c r="L25" s="893">
        <f t="shared" si="3"/>
        <v>1.3322752866577857E-2</v>
      </c>
      <c r="M25" s="161"/>
      <c r="O25" s="12"/>
      <c r="P25" s="174"/>
    </row>
    <row r="26" spans="1:16">
      <c r="A26" s="1293" t="s">
        <v>781</v>
      </c>
      <c r="B26" s="888">
        <f>SUM('Step 3 Acad Product &amp; Pools'!P16:P28)+'Step 3 Acad Product &amp; Pools'!P32</f>
        <v>7159832.1883923607</v>
      </c>
      <c r="C26" s="888">
        <f>'Step 3 Acad Product &amp; Pools'!P31</f>
        <v>0</v>
      </c>
      <c r="D26" s="888">
        <f>'Step 3 Acad Product &amp; Pools'!P45</f>
        <v>1957.2524357536504</v>
      </c>
      <c r="E26" s="888"/>
      <c r="F26" s="888"/>
      <c r="G26" s="888"/>
      <c r="H26" s="888"/>
      <c r="I26" s="888"/>
      <c r="J26" s="888"/>
      <c r="K26" s="891">
        <f t="shared" si="2"/>
        <v>7161789.4408281147</v>
      </c>
      <c r="L26" s="893">
        <f t="shared" si="3"/>
        <v>1.1987939266182298E-2</v>
      </c>
      <c r="M26" s="161"/>
      <c r="O26" s="12"/>
    </row>
    <row r="27" spans="1:16">
      <c r="A27" s="162" t="s">
        <v>1329</v>
      </c>
      <c r="B27" s="888"/>
      <c r="C27" s="888"/>
      <c r="D27" s="888"/>
      <c r="E27" s="888"/>
      <c r="F27" s="888"/>
      <c r="G27" s="888"/>
      <c r="H27" s="888"/>
      <c r="I27" s="888"/>
      <c r="J27" s="888"/>
      <c r="K27" s="894"/>
      <c r="L27" s="894"/>
      <c r="M27" s="161"/>
    </row>
    <row r="28" spans="1:16">
      <c r="A28" s="162" t="s">
        <v>279</v>
      </c>
      <c r="B28" s="888">
        <f>'Step 7 Final Adjustments'!G49+'Step 7 Final Adjustments'!P49+'Step 7 Final Adjustments'!G29</f>
        <v>1492772</v>
      </c>
      <c r="C28" s="888">
        <f>SUM('Step 7 Final Adjustments'!G31,'Step 7 Final Adjustments'!P31,'Step 7 Final Adjustments'!G33,'Step 7 Final Adjustments'!P33,'Step 7 Final Adjustments'!G27,'Step 7 Final Adjustments'!P27,'Step 7 Final Adjustments'!G47,'Step 7 Final Adjustments'!P47+'Step 7 Final Adjustments'!G48,'Step 7 Final Adjustments'!P48,'Step 7 Final Adjustments'!G50,'Step 7 Final Adjustments'!P50)</f>
        <v>42513894</v>
      </c>
      <c r="D28" s="888">
        <f>SUM('Step 7 Final Adjustments'!G46,'Step 7 Final Adjustments'!P46,'Step 7 Final Adjustments'!G51,'Step 7 Final Adjustments'!P51,'Step 7 Final Adjustments'!G44,'Step 7 Final Adjustments'!P44,'Step 7 Final Adjustments'!G45,'Step 7 Final Adjustments'!P45)</f>
        <v>22652570</v>
      </c>
      <c r="E28" s="888">
        <f>SUM('Step 7 Final Adjustments'!G54,'Step 7 Final Adjustments'!G55,'Step 7 Final Adjustments'!G56,'Step 7 Final Adjustments'!G57,'Step 7 Final Adjustments'!P54,'Step 7 Final Adjustments'!P55,'Step 7 Final Adjustments'!P56,'Step 7 Final Adjustments'!P57)</f>
        <v>23739395</v>
      </c>
      <c r="F28" s="888">
        <f>SUM('Step 7 Final Adjustments'!G41,'Step 7 Final Adjustments'!P41,'Step 7 Final Adjustments'!G52,'Step 7 Final Adjustments'!P52,'Step 7 Final Adjustments'!G53,'Step 7 Final Adjustments'!P53)</f>
        <v>44549261</v>
      </c>
      <c r="G28" s="888"/>
      <c r="H28" s="888"/>
      <c r="I28" s="888"/>
      <c r="J28" s="888"/>
      <c r="K28" s="891">
        <f>SUM(B28:J28)</f>
        <v>134947892</v>
      </c>
      <c r="L28" s="893">
        <f>K28/B$6</f>
        <v>0.22588588323650416</v>
      </c>
      <c r="M28" s="161"/>
      <c r="P28" s="174"/>
    </row>
    <row r="29" spans="1:16">
      <c r="A29" s="162"/>
      <c r="B29" s="162"/>
      <c r="C29" s="162"/>
      <c r="D29" s="162"/>
      <c r="E29" s="162"/>
      <c r="F29" s="162"/>
      <c r="G29" s="162"/>
      <c r="H29" s="162"/>
      <c r="I29" s="162"/>
      <c r="J29" s="162"/>
      <c r="K29" s="162"/>
      <c r="L29" s="161"/>
      <c r="M29" s="161"/>
    </row>
    <row r="30" spans="1:16">
      <c r="A30" s="1294" t="s">
        <v>286</v>
      </c>
      <c r="B30" s="225"/>
      <c r="C30" s="225"/>
      <c r="D30" s="225"/>
      <c r="E30" s="225"/>
      <c r="F30" s="225"/>
      <c r="G30" s="225"/>
      <c r="H30" s="225"/>
      <c r="I30" s="225"/>
      <c r="J30" s="225"/>
      <c r="K30" s="225"/>
      <c r="L30" s="225"/>
      <c r="M30" s="161"/>
    </row>
    <row r="31" spans="1:16">
      <c r="A31" s="162"/>
      <c r="B31" s="888">
        <f>SUM('Step 7 Final Adjustments'!O15,'Step 7 Final Adjustments'!N20,'Step 7 Final Adjustments'!O21,'Step 7 Final Adjustments'!O24,'Step 7 Final Adjustments'!O25,'Step 7 Final Adjustments'!P28,'Step 7 Final Adjustments'!P32)</f>
        <v>2408693.3690467179</v>
      </c>
      <c r="C31" s="888"/>
      <c r="D31" s="888"/>
      <c r="E31" s="888"/>
      <c r="F31" s="888"/>
      <c r="G31" s="888"/>
      <c r="H31" s="888"/>
      <c r="I31" s="888"/>
      <c r="J31" s="888">
        <f>SUM('Step 7 Final Adjustments'!N8,'Step 7 Final Adjustments'!O8)-'Step 7 Final Adjustments'!P28-'Step 7 Final Adjustments'!P32</f>
        <v>-2408693.3690467179</v>
      </c>
      <c r="K31" s="891">
        <f>SUM(B31:J31)</f>
        <v>0</v>
      </c>
      <c r="L31" s="161"/>
      <c r="M31" s="161"/>
    </row>
    <row r="32" spans="1:16">
      <c r="A32" s="226" t="s">
        <v>13</v>
      </c>
      <c r="B32" s="1295">
        <f t="shared" ref="B32:J32" si="4">SUM(B11:B31)</f>
        <v>359688510.01144612</v>
      </c>
      <c r="C32" s="1295">
        <f t="shared" si="4"/>
        <v>54210568.372121818</v>
      </c>
      <c r="D32" s="1295">
        <f>SUM(D11:D31)</f>
        <v>29644644.027550004</v>
      </c>
      <c r="E32" s="1295">
        <f t="shared" si="4"/>
        <v>33892450.061900049</v>
      </c>
      <c r="F32" s="1295">
        <f t="shared" si="4"/>
        <v>48881275</v>
      </c>
      <c r="G32" s="1295">
        <f t="shared" si="4"/>
        <v>25061646.77</v>
      </c>
      <c r="H32" s="1323">
        <f t="shared" si="4"/>
        <v>20677703.325835075</v>
      </c>
      <c r="I32" s="1323">
        <f t="shared" si="4"/>
        <v>3222680</v>
      </c>
      <c r="J32" s="1323">
        <f t="shared" si="4"/>
        <v>18250840.052440442</v>
      </c>
      <c r="K32" s="1295">
        <f>SUM(B32:J32)</f>
        <v>593530317.62129343</v>
      </c>
      <c r="L32" s="1296">
        <f>SUM(L11:L30)</f>
        <v>0.99349547470907307</v>
      </c>
      <c r="M32" s="161"/>
    </row>
    <row r="33" spans="1:13" ht="16.5" thickBot="1">
      <c r="A33" s="1297" t="s">
        <v>278</v>
      </c>
      <c r="B33" s="1298">
        <f>B32/$K32</f>
        <v>0.6060153952252666</v>
      </c>
      <c r="C33" s="1298">
        <f t="shared" ref="C33:J33" si="5">C32/$K32</f>
        <v>9.1335803349326602E-2</v>
      </c>
      <c r="D33" s="1298">
        <f t="shared" si="5"/>
        <v>4.9946301220732243E-2</v>
      </c>
      <c r="E33" s="1298">
        <f t="shared" si="5"/>
        <v>5.7103148829417319E-2</v>
      </c>
      <c r="F33" s="1298">
        <f t="shared" si="5"/>
        <v>8.2356829211189628E-2</v>
      </c>
      <c r="G33" s="1298">
        <f t="shared" si="5"/>
        <v>4.2224712076107923E-2</v>
      </c>
      <c r="H33" s="1298">
        <f>H32/$K32</f>
        <v>3.4838495544264082E-2</v>
      </c>
      <c r="I33" s="1298">
        <f t="shared" si="5"/>
        <v>5.4296805139046923E-3</v>
      </c>
      <c r="J33" s="1298">
        <f t="shared" si="5"/>
        <v>3.0749634029791095E-2</v>
      </c>
      <c r="K33" s="1299">
        <f>SUM(B33:J33)</f>
        <v>1.0000000000000002</v>
      </c>
      <c r="L33" s="1297"/>
      <c r="M33" s="161"/>
    </row>
    <row r="34" spans="1:13" ht="16.5" thickTop="1">
      <c r="I34" s="161"/>
      <c r="J34" s="179"/>
      <c r="K34" s="179">
        <f>SUM(K11:K31)</f>
        <v>593530317.62129354</v>
      </c>
      <c r="L34" s="161"/>
      <c r="M34" s="161"/>
    </row>
    <row r="35" spans="1:13">
      <c r="B35" s="887" t="s">
        <v>778</v>
      </c>
      <c r="C35" t="s">
        <v>785</v>
      </c>
      <c r="I35" s="161"/>
      <c r="J35" s="161"/>
      <c r="K35" s="161"/>
      <c r="L35" s="161"/>
      <c r="M35" s="161"/>
    </row>
    <row r="36" spans="1:13" ht="18">
      <c r="B36" s="237">
        <v>1</v>
      </c>
      <c r="C36" t="s">
        <v>314</v>
      </c>
      <c r="I36" s="161"/>
      <c r="J36" s="161"/>
      <c r="L36" s="161"/>
      <c r="M36" s="161"/>
    </row>
    <row r="37" spans="1:13" ht="18">
      <c r="B37" s="237">
        <v>2</v>
      </c>
      <c r="C37" t="s">
        <v>780</v>
      </c>
    </row>
    <row r="38" spans="1:13" ht="18">
      <c r="B38" s="237">
        <v>3</v>
      </c>
      <c r="C38" t="s">
        <v>786</v>
      </c>
      <c r="K38" s="174"/>
    </row>
    <row r="39" spans="1:13" ht="18">
      <c r="B39" s="237">
        <v>4</v>
      </c>
      <c r="C39" t="s">
        <v>315</v>
      </c>
      <c r="J39" s="174"/>
      <c r="K39" s="174"/>
    </row>
    <row r="40" spans="1:13" ht="18">
      <c r="B40" s="237">
        <v>5</v>
      </c>
      <c r="C40" t="s">
        <v>1330</v>
      </c>
      <c r="K40" s="12"/>
    </row>
    <row r="41" spans="1:13">
      <c r="K41" s="174"/>
    </row>
    <row r="43" spans="1:13">
      <c r="B43" s="12"/>
      <c r="C43" s="12"/>
      <c r="D43" s="12"/>
      <c r="E43" s="12"/>
      <c r="F43" s="12"/>
      <c r="G43" s="12"/>
    </row>
    <row r="44" spans="1:13">
      <c r="K44" s="12"/>
    </row>
    <row r="45" spans="1:13">
      <c r="F45" s="12"/>
      <c r="G45" s="12"/>
      <c r="H45" s="12"/>
      <c r="I45" s="12"/>
      <c r="J45" s="12"/>
      <c r="K45" s="12"/>
      <c r="L45" s="12"/>
    </row>
    <row r="47" spans="1:13">
      <c r="K47" s="174"/>
    </row>
  </sheetData>
  <mergeCells count="3">
    <mergeCell ref="C7:F7"/>
    <mergeCell ref="B7:B8"/>
    <mergeCell ref="G7:J7"/>
  </mergeCells>
  <phoneticPr fontId="52" type="noConversion"/>
  <pageMargins left="0.75" right="0.75" top="1" bottom="1" header="0.5" footer="0.5"/>
  <pageSetup scale="56" orientation="landscape" horizontalDpi="4294967292" verticalDpi="4294967292" copies="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0"/>
  <sheetViews>
    <sheetView workbookViewId="0">
      <selection activeCell="C22" sqref="C22"/>
    </sheetView>
  </sheetViews>
  <sheetFormatPr defaultColWidth="11" defaultRowHeight="15.75"/>
  <cols>
    <col min="1" max="1" width="34" customWidth="1"/>
    <col min="2" max="2" width="5.125" customWidth="1"/>
    <col min="3" max="3" width="25.375" customWidth="1"/>
    <col min="4" max="4" width="4.625" customWidth="1"/>
    <col min="5" max="5" width="15.875" customWidth="1"/>
    <col min="6" max="6" width="19.375" customWidth="1"/>
    <col min="7" max="7" width="16.125" customWidth="1"/>
  </cols>
  <sheetData>
    <row r="1" spans="1:7" ht="18.75">
      <c r="A1" s="870" t="s">
        <v>888</v>
      </c>
    </row>
    <row r="2" spans="1:7">
      <c r="A2" s="855">
        <v>43032</v>
      </c>
    </row>
    <row r="3" spans="1:7" ht="16.5" thickBot="1"/>
    <row r="4" spans="1:7" ht="16.5" thickBot="1">
      <c r="A4" s="866" t="s">
        <v>1185</v>
      </c>
      <c r="B4" s="867"/>
      <c r="C4" s="889">
        <v>553011059</v>
      </c>
    </row>
    <row r="5" spans="1:7" ht="19.5" thickBot="1">
      <c r="A5" s="866" t="s">
        <v>1119</v>
      </c>
      <c r="B5" s="867"/>
      <c r="C5" s="889">
        <f>'Pools, Rates, Reference'!B6</f>
        <v>597416226.57626891</v>
      </c>
      <c r="E5" s="1172" t="s">
        <v>5</v>
      </c>
    </row>
    <row r="6" spans="1:7" ht="16.5" thickBot="1">
      <c r="A6" s="868" t="s">
        <v>1120</v>
      </c>
      <c r="B6" s="869"/>
      <c r="C6" s="890" t="e">
        <f>#REF!</f>
        <v>#REF!</v>
      </c>
    </row>
    <row r="7" spans="1:7">
      <c r="E7" s="1969" t="s">
        <v>1193</v>
      </c>
      <c r="F7" s="1969"/>
      <c r="G7" s="1969"/>
    </row>
    <row r="8" spans="1:7">
      <c r="A8" s="14" t="s">
        <v>1149</v>
      </c>
      <c r="B8" s="14"/>
      <c r="C8" s="1152">
        <f>'What If Data'!H21</f>
        <v>14434039</v>
      </c>
      <c r="E8" s="1969"/>
      <c r="F8" s="1969"/>
      <c r="G8" s="1969"/>
    </row>
    <row r="9" spans="1:7">
      <c r="A9" s="57" t="s">
        <v>1121</v>
      </c>
      <c r="B9" s="57"/>
      <c r="C9" s="1153">
        <f>'What If Data'!I21</f>
        <v>14831995</v>
      </c>
    </row>
    <row r="10" spans="1:7">
      <c r="A10" s="57" t="s">
        <v>1122</v>
      </c>
      <c r="B10" s="57"/>
      <c r="C10" s="1153">
        <f>'What If Data'!J21</f>
        <v>14741202.939066634</v>
      </c>
    </row>
    <row r="11" spans="1:7">
      <c r="A11" s="57" t="s">
        <v>1123</v>
      </c>
      <c r="B11" s="57"/>
      <c r="C11" s="1153">
        <f>'What If Data'!K21</f>
        <v>17320490.530335311</v>
      </c>
    </row>
    <row r="12" spans="1:7">
      <c r="A12" s="15" t="s">
        <v>1184</v>
      </c>
      <c r="B12" s="15"/>
      <c r="C12" s="1154">
        <f>'What If Data'!L21</f>
        <v>2579287.5912686773</v>
      </c>
    </row>
    <row r="14" spans="1:7">
      <c r="A14" t="s">
        <v>1156</v>
      </c>
      <c r="C14" s="1158" t="s">
        <v>1157</v>
      </c>
      <c r="E14" s="1969" t="s">
        <v>1194</v>
      </c>
      <c r="F14" s="1969"/>
      <c r="G14" s="1969"/>
    </row>
    <row r="15" spans="1:7">
      <c r="E15" s="1969"/>
      <c r="F15" s="1969"/>
      <c r="G15" s="1969"/>
    </row>
    <row r="16" spans="1:7">
      <c r="A16" s="1176"/>
      <c r="B16" s="1176"/>
      <c r="C16" s="1176"/>
    </row>
    <row r="17" spans="1:7">
      <c r="A17" s="1176"/>
      <c r="B17" s="1176"/>
      <c r="C17" s="1176"/>
    </row>
    <row r="18" spans="1:7">
      <c r="A18" s="1176"/>
      <c r="B18" s="1176"/>
      <c r="C18" s="1176"/>
    </row>
    <row r="19" spans="1:7" ht="29.1" customHeight="1">
      <c r="A19" s="1970" t="s">
        <v>1211</v>
      </c>
      <c r="B19" s="1970"/>
      <c r="C19" s="1970"/>
      <c r="D19" s="1970"/>
      <c r="E19" s="1970"/>
      <c r="F19" s="1970"/>
      <c r="G19" s="1970"/>
    </row>
    <row r="21" spans="1:7">
      <c r="A21" s="1166" t="s">
        <v>1160</v>
      </c>
      <c r="B21" s="1167"/>
      <c r="C21" s="1168" t="s">
        <v>1210</v>
      </c>
    </row>
    <row r="22" spans="1:7">
      <c r="A22" s="1169" t="s">
        <v>1150</v>
      </c>
      <c r="B22" s="1169"/>
      <c r="C22" s="1173"/>
      <c r="E22" s="1981" t="s">
        <v>1195</v>
      </c>
      <c r="F22" s="1981"/>
      <c r="G22" s="1981"/>
    </row>
    <row r="23" spans="1:7">
      <c r="A23" s="1169" t="s">
        <v>1151</v>
      </c>
      <c r="B23" s="1169"/>
      <c r="C23" s="1173"/>
      <c r="E23" s="1981" t="s">
        <v>1197</v>
      </c>
      <c r="F23" s="1981"/>
      <c r="G23" s="1981"/>
    </row>
    <row r="24" spans="1:7">
      <c r="A24" s="1169" t="s">
        <v>1152</v>
      </c>
      <c r="B24" s="1169"/>
      <c r="C24" s="1173"/>
      <c r="E24" s="1981" t="s">
        <v>1196</v>
      </c>
      <c r="F24" s="1981"/>
      <c r="G24" s="1981"/>
    </row>
    <row r="25" spans="1:7">
      <c r="A25" s="1169" t="s">
        <v>1153</v>
      </c>
      <c r="B25" s="1169"/>
      <c r="C25" s="1173"/>
      <c r="E25" s="1981" t="s">
        <v>1198</v>
      </c>
      <c r="F25" s="1981"/>
      <c r="G25" s="1981"/>
    </row>
    <row r="26" spans="1:7">
      <c r="A26" s="1169" t="s">
        <v>1154</v>
      </c>
      <c r="B26" s="1169"/>
      <c r="C26" s="1173"/>
      <c r="E26" s="1981" t="s">
        <v>1200</v>
      </c>
      <c r="F26" s="1981"/>
      <c r="G26" s="1981"/>
    </row>
    <row r="27" spans="1:7">
      <c r="A27" s="1169" t="s">
        <v>1155</v>
      </c>
      <c r="B27" s="1169"/>
      <c r="C27" s="1173">
        <v>0</v>
      </c>
      <c r="E27" s="1981" t="s">
        <v>1199</v>
      </c>
      <c r="F27" s="1981"/>
      <c r="G27" s="1981"/>
    </row>
    <row r="28" spans="1:7">
      <c r="A28" s="1169" t="s">
        <v>1170</v>
      </c>
      <c r="B28" s="1169"/>
      <c r="C28" s="1173"/>
      <c r="E28" s="1981" t="s">
        <v>1201</v>
      </c>
      <c r="F28" s="1981"/>
      <c r="G28" s="1981"/>
    </row>
    <row r="29" spans="1:7">
      <c r="A29" s="1169" t="s">
        <v>1171</v>
      </c>
      <c r="B29" s="1169"/>
      <c r="C29" s="1173"/>
      <c r="E29" s="1981" t="s">
        <v>1202</v>
      </c>
      <c r="F29" s="1981"/>
      <c r="G29" s="1981"/>
    </row>
    <row r="30" spans="1:7">
      <c r="A30" s="1169" t="s">
        <v>1173</v>
      </c>
      <c r="B30" s="1170"/>
      <c r="C30" s="1174"/>
      <c r="E30" s="1981" t="s">
        <v>1203</v>
      </c>
      <c r="F30" s="1981"/>
      <c r="G30" s="1981"/>
    </row>
    <row r="31" spans="1:7">
      <c r="A31" s="1169" t="s">
        <v>1172</v>
      </c>
      <c r="B31" s="1170"/>
      <c r="C31" s="1174"/>
      <c r="E31" s="1981" t="s">
        <v>1204</v>
      </c>
      <c r="F31" s="1981"/>
      <c r="G31" s="1981"/>
    </row>
    <row r="32" spans="1:7">
      <c r="A32" s="1169" t="s">
        <v>1188</v>
      </c>
      <c r="B32" s="1170"/>
      <c r="C32" s="1174">
        <v>0</v>
      </c>
      <c r="E32" s="1981" t="s">
        <v>1206</v>
      </c>
      <c r="F32" s="1981"/>
      <c r="G32" s="1981"/>
    </row>
    <row r="33" spans="1:9">
      <c r="A33" s="1171" t="s">
        <v>1159</v>
      </c>
      <c r="B33" s="1171"/>
      <c r="C33" s="1175"/>
      <c r="E33" s="1177"/>
      <c r="F33" s="1177"/>
      <c r="G33" s="1177"/>
    </row>
    <row r="34" spans="1:9">
      <c r="A34" s="1169" t="s">
        <v>178</v>
      </c>
      <c r="B34" s="1169"/>
      <c r="C34" s="1173">
        <v>0</v>
      </c>
      <c r="E34" s="1980" t="s">
        <v>1205</v>
      </c>
      <c r="F34" s="1980"/>
      <c r="G34" s="1980"/>
    </row>
    <row r="35" spans="1:9">
      <c r="A35" s="1169" t="s">
        <v>1130</v>
      </c>
      <c r="B35" s="1169"/>
      <c r="C35" s="1173">
        <v>0</v>
      </c>
      <c r="E35" s="1980"/>
      <c r="F35" s="1980"/>
      <c r="G35" s="1980"/>
      <c r="I35" t="s">
        <v>1180</v>
      </c>
    </row>
    <row r="36" spans="1:9">
      <c r="A36" s="1169" t="s">
        <v>1131</v>
      </c>
      <c r="B36" s="1169"/>
      <c r="C36" s="1173"/>
      <c r="E36" s="1980"/>
      <c r="F36" s="1980"/>
      <c r="G36" s="1980"/>
      <c r="I36" t="s">
        <v>1181</v>
      </c>
    </row>
    <row r="37" spans="1:9" ht="15.95" customHeight="1">
      <c r="A37" s="1169" t="s">
        <v>1132</v>
      </c>
      <c r="B37" s="1169"/>
      <c r="C37" s="1173"/>
      <c r="E37" s="1980"/>
      <c r="F37" s="1980"/>
      <c r="G37" s="1980"/>
      <c r="I37" t="s">
        <v>1182</v>
      </c>
    </row>
    <row r="38" spans="1:9" ht="15.95" customHeight="1">
      <c r="A38" s="1169"/>
      <c r="B38" s="1169"/>
      <c r="C38" s="1173"/>
      <c r="E38" s="1177"/>
      <c r="F38" s="1177"/>
      <c r="G38" s="1177"/>
    </row>
    <row r="39" spans="1:9">
      <c r="A39" s="1169" t="s">
        <v>1133</v>
      </c>
      <c r="B39" s="1169"/>
      <c r="C39" s="1173">
        <v>0</v>
      </c>
      <c r="E39" s="1981" t="s">
        <v>1207</v>
      </c>
      <c r="F39" s="1981"/>
      <c r="G39" s="1981"/>
    </row>
    <row r="40" spans="1:9">
      <c r="A40" s="1169" t="s">
        <v>1134</v>
      </c>
      <c r="B40" s="1169"/>
      <c r="C40" s="1173"/>
      <c r="E40" s="1981" t="s">
        <v>1208</v>
      </c>
      <c r="F40" s="1981"/>
      <c r="G40" s="1981"/>
    </row>
    <row r="41" spans="1:9">
      <c r="A41" s="1169" t="s">
        <v>1135</v>
      </c>
      <c r="B41" s="1169"/>
      <c r="C41" s="1173"/>
      <c r="E41" s="1981" t="s">
        <v>1209</v>
      </c>
      <c r="F41" s="1981"/>
      <c r="G41" s="1981"/>
    </row>
    <row r="42" spans="1:9" ht="16.5" thickBot="1"/>
    <row r="43" spans="1:9" ht="15.95" customHeight="1">
      <c r="A43" s="1971" t="s">
        <v>1212</v>
      </c>
      <c r="B43" s="1972"/>
      <c r="C43" s="1972"/>
      <c r="D43" s="1972"/>
      <c r="E43" s="1972"/>
      <c r="F43" s="1972"/>
      <c r="G43" s="1973"/>
    </row>
    <row r="44" spans="1:9">
      <c r="A44" s="1974"/>
      <c r="B44" s="1975"/>
      <c r="C44" s="1975"/>
      <c r="D44" s="1975"/>
      <c r="E44" s="1975"/>
      <c r="F44" s="1975"/>
      <c r="G44" s="1976"/>
    </row>
    <row r="45" spans="1:9">
      <c r="A45" s="1974"/>
      <c r="B45" s="1975"/>
      <c r="C45" s="1975"/>
      <c r="D45" s="1975"/>
      <c r="E45" s="1975"/>
      <c r="F45" s="1975"/>
      <c r="G45" s="1976"/>
    </row>
    <row r="46" spans="1:9">
      <c r="A46" s="1974"/>
      <c r="B46" s="1975"/>
      <c r="C46" s="1975"/>
      <c r="D46" s="1975"/>
      <c r="E46" s="1975"/>
      <c r="F46" s="1975"/>
      <c r="G46" s="1976"/>
    </row>
    <row r="47" spans="1:9">
      <c r="A47" s="1974"/>
      <c r="B47" s="1975"/>
      <c r="C47" s="1975"/>
      <c r="D47" s="1975"/>
      <c r="E47" s="1975"/>
      <c r="F47" s="1975"/>
      <c r="G47" s="1976"/>
    </row>
    <row r="48" spans="1:9">
      <c r="A48" s="1974"/>
      <c r="B48" s="1975"/>
      <c r="C48" s="1975"/>
      <c r="D48" s="1975"/>
      <c r="E48" s="1975"/>
      <c r="F48" s="1975"/>
      <c r="G48" s="1976"/>
    </row>
    <row r="49" spans="1:7">
      <c r="A49" s="1974"/>
      <c r="B49" s="1975"/>
      <c r="C49" s="1975"/>
      <c r="D49" s="1975"/>
      <c r="E49" s="1975"/>
      <c r="F49" s="1975"/>
      <c r="G49" s="1976"/>
    </row>
    <row r="50" spans="1:7">
      <c r="A50" s="1974"/>
      <c r="B50" s="1975"/>
      <c r="C50" s="1975"/>
      <c r="D50" s="1975"/>
      <c r="E50" s="1975"/>
      <c r="F50" s="1975"/>
      <c r="G50" s="1976"/>
    </row>
    <row r="51" spans="1:7">
      <c r="A51" s="1974"/>
      <c r="B51" s="1975"/>
      <c r="C51" s="1975"/>
      <c r="D51" s="1975"/>
      <c r="E51" s="1975"/>
      <c r="F51" s="1975"/>
      <c r="G51" s="1976"/>
    </row>
    <row r="52" spans="1:7">
      <c r="A52" s="1974"/>
      <c r="B52" s="1975"/>
      <c r="C52" s="1975"/>
      <c r="D52" s="1975"/>
      <c r="E52" s="1975"/>
      <c r="F52" s="1975"/>
      <c r="G52" s="1976"/>
    </row>
    <row r="53" spans="1:7">
      <c r="A53" s="1974"/>
      <c r="B53" s="1975"/>
      <c r="C53" s="1975"/>
      <c r="D53" s="1975"/>
      <c r="E53" s="1975"/>
      <c r="F53" s="1975"/>
      <c r="G53" s="1976"/>
    </row>
    <row r="54" spans="1:7">
      <c r="A54" s="1974"/>
      <c r="B54" s="1975"/>
      <c r="C54" s="1975"/>
      <c r="D54" s="1975"/>
      <c r="E54" s="1975"/>
      <c r="F54" s="1975"/>
      <c r="G54" s="1976"/>
    </row>
    <row r="55" spans="1:7">
      <c r="A55" s="1974"/>
      <c r="B55" s="1975"/>
      <c r="C55" s="1975"/>
      <c r="D55" s="1975"/>
      <c r="E55" s="1975"/>
      <c r="F55" s="1975"/>
      <c r="G55" s="1976"/>
    </row>
    <row r="56" spans="1:7">
      <c r="A56" s="1974"/>
      <c r="B56" s="1975"/>
      <c r="C56" s="1975"/>
      <c r="D56" s="1975"/>
      <c r="E56" s="1975"/>
      <c r="F56" s="1975"/>
      <c r="G56" s="1976"/>
    </row>
    <row r="57" spans="1:7">
      <c r="A57" s="1974"/>
      <c r="B57" s="1975"/>
      <c r="C57" s="1975"/>
      <c r="D57" s="1975"/>
      <c r="E57" s="1975"/>
      <c r="F57" s="1975"/>
      <c r="G57" s="1976"/>
    </row>
    <row r="58" spans="1:7">
      <c r="A58" s="1974"/>
      <c r="B58" s="1975"/>
      <c r="C58" s="1975"/>
      <c r="D58" s="1975"/>
      <c r="E58" s="1975"/>
      <c r="F58" s="1975"/>
      <c r="G58" s="1976"/>
    </row>
    <row r="59" spans="1:7">
      <c r="A59" s="1974"/>
      <c r="B59" s="1975"/>
      <c r="C59" s="1975"/>
      <c r="D59" s="1975"/>
      <c r="E59" s="1975"/>
      <c r="F59" s="1975"/>
      <c r="G59" s="1976"/>
    </row>
    <row r="60" spans="1:7" ht="16.5" thickBot="1">
      <c r="A60" s="1977"/>
      <c r="B60" s="1978"/>
      <c r="C60" s="1978"/>
      <c r="D60" s="1978"/>
      <c r="E60" s="1978"/>
      <c r="F60" s="1978"/>
      <c r="G60" s="1979"/>
    </row>
  </sheetData>
  <mergeCells count="19">
    <mergeCell ref="E39:G39"/>
    <mergeCell ref="E40:G40"/>
    <mergeCell ref="E41:G41"/>
    <mergeCell ref="E14:G15"/>
    <mergeCell ref="E7:G8"/>
    <mergeCell ref="A19:G19"/>
    <mergeCell ref="A43:G60"/>
    <mergeCell ref="E34:G37"/>
    <mergeCell ref="E22:G22"/>
    <mergeCell ref="E23:G23"/>
    <mergeCell ref="E24:G24"/>
    <mergeCell ref="E25:G25"/>
    <mergeCell ref="E26:G26"/>
    <mergeCell ref="E27:G27"/>
    <mergeCell ref="E28:G28"/>
    <mergeCell ref="E29:G29"/>
    <mergeCell ref="E30:G30"/>
    <mergeCell ref="E31:G31"/>
    <mergeCell ref="E32:G32"/>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'What If Data'!$A$6:$A$20</xm:f>
          </x14:formula1>
          <xm:sqref>E5</xm:sqref>
        </x14:dataValidation>
        <x14:dataValidation type="list" allowBlank="1" showInputMessage="1" showErrorMessage="1">
          <x14:formula1>
            <xm:f>'What If Data'!$A$64:$A$65</xm:f>
          </x14:formula1>
          <xm:sqref>C14</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T65"/>
  <sheetViews>
    <sheetView topLeftCell="A18" workbookViewId="0">
      <selection activeCell="D55" sqref="D55"/>
    </sheetView>
  </sheetViews>
  <sheetFormatPr defaultColWidth="11" defaultRowHeight="15.75"/>
  <cols>
    <col min="1" max="1" width="17.125" customWidth="1"/>
    <col min="2" max="2" width="15.125" customWidth="1"/>
    <col min="3" max="3" width="17.625" customWidth="1"/>
    <col min="4" max="13" width="13.875" customWidth="1"/>
    <col min="14" max="14" width="11.5" customWidth="1"/>
    <col min="17" max="17" width="12.125" customWidth="1"/>
  </cols>
  <sheetData>
    <row r="2" spans="1:12">
      <c r="A2" s="914" t="s">
        <v>1186</v>
      </c>
      <c r="B2" s="914"/>
      <c r="C2" s="914" t="s">
        <v>1187</v>
      </c>
      <c r="D2" s="914"/>
      <c r="E2" s="914"/>
      <c r="F2" s="914"/>
    </row>
    <row r="5" spans="1:12" ht="31.5">
      <c r="A5" s="214"/>
      <c r="B5" s="1145" t="s">
        <v>1136</v>
      </c>
      <c r="C5" s="1144" t="s">
        <v>1121</v>
      </c>
      <c r="D5" s="1144" t="s">
        <v>1122</v>
      </c>
      <c r="E5" s="1144" t="s">
        <v>1123</v>
      </c>
      <c r="F5" s="1144" t="s">
        <v>1124</v>
      </c>
      <c r="H5" s="1145" t="s">
        <v>1136</v>
      </c>
      <c r="I5" s="1144" t="s">
        <v>1121</v>
      </c>
      <c r="J5" s="1144" t="s">
        <v>1122</v>
      </c>
      <c r="K5" s="1144" t="s">
        <v>1123</v>
      </c>
      <c r="L5" s="1144" t="s">
        <v>1124</v>
      </c>
    </row>
    <row r="6" spans="1:12">
      <c r="A6" t="s">
        <v>605</v>
      </c>
      <c r="B6" s="234">
        <v>22952677</v>
      </c>
      <c r="C6" s="234">
        <v>24160078</v>
      </c>
      <c r="D6" s="234">
        <v>25001758.759312462</v>
      </c>
      <c r="E6" s="234">
        <f>'Step 7 Final Adjustments'!R16</f>
        <v>24523970.538359653</v>
      </c>
      <c r="F6" s="234">
        <f>E6-D6</f>
        <v>-477788.22095280886</v>
      </c>
      <c r="H6" s="234">
        <f>IF($A6='What If Tool'!$E$5,B6,0)</f>
        <v>0</v>
      </c>
      <c r="I6" s="234">
        <f>IF($A6='What If Tool'!$E$5,C6,0)</f>
        <v>0</v>
      </c>
      <c r="J6" s="234">
        <f>IF($A6='What If Tool'!$E$5,D6,0)</f>
        <v>0</v>
      </c>
      <c r="K6" s="234">
        <f>IF($A6='What If Tool'!$E$5,E6,0)</f>
        <v>0</v>
      </c>
      <c r="L6" s="234">
        <f>IF($A6='What If Tool'!$E$5,F6,0)</f>
        <v>0</v>
      </c>
    </row>
    <row r="7" spans="1:12">
      <c r="A7" t="s">
        <v>6</v>
      </c>
      <c r="B7" s="794">
        <v>20340741</v>
      </c>
      <c r="C7" s="794">
        <v>20462422</v>
      </c>
      <c r="D7" s="794">
        <v>20285337.772514664</v>
      </c>
      <c r="E7" s="794">
        <f>'Step 7 Final Adjustments'!R17</f>
        <v>22524237.091031913</v>
      </c>
      <c r="F7" s="794">
        <f t="shared" ref="F7:F16" si="0">E7-D7</f>
        <v>2238899.3185172491</v>
      </c>
      <c r="H7" s="794">
        <f>IF($A7='What If Tool'!$E$5,B7,0)</f>
        <v>0</v>
      </c>
      <c r="I7" s="794">
        <f>IF($A7='What If Tool'!$E$5,C7,0)</f>
        <v>0</v>
      </c>
      <c r="J7" s="794">
        <f>IF($A7='What If Tool'!$E$5,D7,0)</f>
        <v>0</v>
      </c>
      <c r="K7" s="794">
        <f>IF($A7='What If Tool'!$E$5,E7,0)</f>
        <v>0</v>
      </c>
      <c r="L7" s="794">
        <f>IF($A7='What If Tool'!$E$5,F7,0)</f>
        <v>0</v>
      </c>
    </row>
    <row r="8" spans="1:12">
      <c r="A8" t="s">
        <v>5</v>
      </c>
      <c r="B8" s="794">
        <v>14434039</v>
      </c>
      <c r="C8" s="794">
        <v>14831995</v>
      </c>
      <c r="D8" s="794">
        <v>14741202.939066634</v>
      </c>
      <c r="E8" s="794">
        <f>'Step 7 Final Adjustments'!R23</f>
        <v>17320490.530335311</v>
      </c>
      <c r="F8" s="794">
        <f t="shared" si="0"/>
        <v>2579287.5912686773</v>
      </c>
      <c r="H8" s="794">
        <f>IF($A8='What If Tool'!$E$5,B8,0)</f>
        <v>14434039</v>
      </c>
      <c r="I8" s="794">
        <f>IF($A8='What If Tool'!$E$5,C8,0)</f>
        <v>14831995</v>
      </c>
      <c r="J8" s="794">
        <f>IF($A8='What If Tool'!$E$5,D8,0)</f>
        <v>14741202.939066634</v>
      </c>
      <c r="K8" s="794">
        <f>IF($A8='What If Tool'!$E$5,E8,0)</f>
        <v>17320490.530335311</v>
      </c>
      <c r="L8" s="794">
        <f>IF($A8='What If Tool'!$E$5,F8,0)</f>
        <v>2579287.5912686773</v>
      </c>
    </row>
    <row r="9" spans="1:12">
      <c r="A9" t="s">
        <v>3</v>
      </c>
      <c r="B9" s="234">
        <v>43369613</v>
      </c>
      <c r="C9" s="234">
        <v>45894131</v>
      </c>
      <c r="D9" s="234">
        <v>45922829.802812383</v>
      </c>
      <c r="E9" s="234">
        <f>'Step 7 Final Adjustments'!R22</f>
        <v>44576377.858418711</v>
      </c>
      <c r="F9" s="234">
        <f t="shared" si="0"/>
        <v>-1346451.944393672</v>
      </c>
      <c r="H9" s="234">
        <f>IF($A9='What If Tool'!$E$5,B9,0)</f>
        <v>0</v>
      </c>
      <c r="I9" s="234">
        <f>IF($A9='What If Tool'!$E$5,C9,0)</f>
        <v>0</v>
      </c>
      <c r="J9" s="234">
        <f>IF($A9='What If Tool'!$E$5,D9,0)</f>
        <v>0</v>
      </c>
      <c r="K9" s="234">
        <f>IF($A9='What If Tool'!$E$5,E9,0)</f>
        <v>0</v>
      </c>
      <c r="L9" s="234">
        <f>IF($A9='What If Tool'!$E$5,F9,0)</f>
        <v>0</v>
      </c>
    </row>
    <row r="10" spans="1:12">
      <c r="A10" t="s">
        <v>8</v>
      </c>
      <c r="B10" s="794">
        <v>4791672</v>
      </c>
      <c r="C10" s="794">
        <v>4806568</v>
      </c>
      <c r="D10" s="794">
        <v>4830007.8363892129</v>
      </c>
      <c r="E10" s="794">
        <f>'Step 7 Final Adjustments'!R21</f>
        <v>5898671.472228311</v>
      </c>
      <c r="F10" s="794">
        <f t="shared" si="0"/>
        <v>1068663.6358390981</v>
      </c>
      <c r="H10" s="794">
        <f>IF($A10='What If Tool'!$E$5,B10,0)</f>
        <v>0</v>
      </c>
      <c r="I10" s="794">
        <f>IF($A10='What If Tool'!$E$5,C10,0)</f>
        <v>0</v>
      </c>
      <c r="J10" s="794">
        <f>IF($A10='What If Tool'!$E$5,D10,0)</f>
        <v>0</v>
      </c>
      <c r="K10" s="794">
        <f>IF($A10='What If Tool'!$E$5,E10,0)</f>
        <v>0</v>
      </c>
      <c r="L10" s="794">
        <f>IF($A10='What If Tool'!$E$5,F10,0)</f>
        <v>0</v>
      </c>
    </row>
    <row r="11" spans="1:12">
      <c r="A11" t="s">
        <v>7</v>
      </c>
      <c r="B11" s="794">
        <v>57240954</v>
      </c>
      <c r="C11" s="794">
        <v>61306607</v>
      </c>
      <c r="D11" s="794">
        <v>64222078.737047724</v>
      </c>
      <c r="E11" s="794">
        <f>'Step 7 Final Adjustments'!R18</f>
        <v>68039673.913837895</v>
      </c>
      <c r="F11" s="794">
        <f t="shared" si="0"/>
        <v>3817595.1767901704</v>
      </c>
      <c r="H11" s="794">
        <f>IF($A11='What If Tool'!$E$5,B11,0)</f>
        <v>0</v>
      </c>
      <c r="I11" s="794">
        <f>IF($A11='What If Tool'!$E$5,C11,0)</f>
        <v>0</v>
      </c>
      <c r="J11" s="794">
        <f>IF($A11='What If Tool'!$E$5,D11,0)</f>
        <v>0</v>
      </c>
      <c r="K11" s="794">
        <f>IF($A11='What If Tool'!$E$5,E11,0)</f>
        <v>0</v>
      </c>
      <c r="L11" s="794">
        <f>IF($A11='What If Tool'!$E$5,F11,0)</f>
        <v>0</v>
      </c>
    </row>
    <row r="12" spans="1:12">
      <c r="A12" t="s">
        <v>2</v>
      </c>
      <c r="B12" s="234">
        <v>8833735</v>
      </c>
      <c r="C12" s="234">
        <v>9355600</v>
      </c>
      <c r="D12" s="234">
        <v>9346906.6282929424</v>
      </c>
      <c r="E12" s="234">
        <f>'Step 7 Final Adjustments'!R19</f>
        <v>9249724.7562814131</v>
      </c>
      <c r="F12" s="234">
        <f t="shared" si="0"/>
        <v>-97181.872011529282</v>
      </c>
      <c r="H12" s="234">
        <f>IF($A12='What If Tool'!$E$5,B12,0)</f>
        <v>0</v>
      </c>
      <c r="I12" s="234">
        <f>IF($A12='What If Tool'!$E$5,C12,0)</f>
        <v>0</v>
      </c>
      <c r="J12" s="234">
        <f>IF($A12='What If Tool'!$E$5,D12,0)</f>
        <v>0</v>
      </c>
      <c r="K12" s="234">
        <f>IF($A12='What If Tool'!$E$5,E12,0)</f>
        <v>0</v>
      </c>
      <c r="L12" s="234">
        <f>IF($A12='What If Tool'!$E$5,F12,0)</f>
        <v>0</v>
      </c>
    </row>
    <row r="13" spans="1:12">
      <c r="A13" t="s">
        <v>10</v>
      </c>
      <c r="B13" s="794">
        <v>12573591</v>
      </c>
      <c r="C13" s="794">
        <v>12737398</v>
      </c>
      <c r="D13" s="794">
        <v>12673049.798480507</v>
      </c>
      <c r="E13" s="794">
        <f>'Step 7 Final Adjustments'!R24</f>
        <v>12758189.870759277</v>
      </c>
      <c r="F13" s="794">
        <f t="shared" si="0"/>
        <v>85140.072278769687</v>
      </c>
      <c r="H13" s="794">
        <f>IF($A13='What If Tool'!$E$5,B13,0)</f>
        <v>0</v>
      </c>
      <c r="I13" s="794">
        <f>IF($A13='What If Tool'!$E$5,C13,0)</f>
        <v>0</v>
      </c>
      <c r="J13" s="794">
        <f>IF($A13='What If Tool'!$E$5,D13,0)</f>
        <v>0</v>
      </c>
      <c r="K13" s="794">
        <f>IF($A13='What If Tool'!$E$5,E13,0)</f>
        <v>0</v>
      </c>
      <c r="L13" s="794">
        <f>IF($A13='What If Tool'!$E$5,F13,0)</f>
        <v>0</v>
      </c>
    </row>
    <row r="14" spans="1:12">
      <c r="A14" t="s">
        <v>9</v>
      </c>
      <c r="B14" s="794">
        <v>19991639</v>
      </c>
      <c r="C14" s="794">
        <v>20440194</v>
      </c>
      <c r="D14" s="794">
        <v>19856321.585655142</v>
      </c>
      <c r="E14" s="794">
        <f>'Step 7 Final Adjustments'!R20</f>
        <v>20494022.002564568</v>
      </c>
      <c r="F14" s="794">
        <f t="shared" si="0"/>
        <v>637700.41690942645</v>
      </c>
      <c r="H14" s="794">
        <f>IF($A14='What If Tool'!$E$5,B14,0)</f>
        <v>0</v>
      </c>
      <c r="I14" s="794">
        <f>IF($A14='What If Tool'!$E$5,C14,0)</f>
        <v>0</v>
      </c>
      <c r="J14" s="794">
        <f>IF($A14='What If Tool'!$E$5,D14,0)</f>
        <v>0</v>
      </c>
      <c r="K14" s="794">
        <f>IF($A14='What If Tool'!$E$5,E14,0)</f>
        <v>0</v>
      </c>
      <c r="L14" s="794">
        <f>IF($A14='What If Tool'!$E$5,F14,0)</f>
        <v>0</v>
      </c>
    </row>
    <row r="15" spans="1:12">
      <c r="A15" t="s">
        <v>4</v>
      </c>
      <c r="B15" s="234">
        <v>40678621</v>
      </c>
      <c r="C15" s="234">
        <v>41127158</v>
      </c>
      <c r="D15" s="234">
        <v>41762479.565978713</v>
      </c>
      <c r="E15" s="234">
        <f>'Step 7 Final Adjustments'!R25</f>
        <v>44927756.725060485</v>
      </c>
      <c r="F15" s="234">
        <f t="shared" si="0"/>
        <v>3165277.159081772</v>
      </c>
      <c r="H15" s="234">
        <f>IF($A15='What If Tool'!$E$5,B15,0)</f>
        <v>0</v>
      </c>
      <c r="I15" s="234">
        <f>IF($A15='What If Tool'!$E$5,C15,0)</f>
        <v>0</v>
      </c>
      <c r="J15" s="234">
        <f>IF($A15='What If Tool'!$E$5,D15,0)</f>
        <v>0</v>
      </c>
      <c r="K15" s="234">
        <f>IF($A15='What If Tool'!$E$5,E15,0)</f>
        <v>0</v>
      </c>
      <c r="L15" s="234">
        <f>IF($A15='What If Tool'!$E$5,F15,0)</f>
        <v>0</v>
      </c>
    </row>
    <row r="16" spans="1:12">
      <c r="A16" t="s">
        <v>1</v>
      </c>
      <c r="B16" s="794">
        <v>24513720</v>
      </c>
      <c r="C16" s="794">
        <v>24909417</v>
      </c>
      <c r="D16" s="794">
        <v>24861945.565714028</v>
      </c>
      <c r="E16" s="794">
        <f>'Step 7 Final Adjustments'!R26</f>
        <v>27439905.628102593</v>
      </c>
      <c r="F16" s="794">
        <f t="shared" si="0"/>
        <v>2577960.0623885654</v>
      </c>
      <c r="H16" s="794">
        <f>IF($A16='What If Tool'!$E$5,B16,0)</f>
        <v>0</v>
      </c>
      <c r="I16" s="794">
        <f>IF($A16='What If Tool'!$E$5,C16,0)</f>
        <v>0</v>
      </c>
      <c r="J16" s="794">
        <f>IF($A16='What If Tool'!$E$5,D16,0)</f>
        <v>0</v>
      </c>
      <c r="K16" s="794">
        <f>IF($A16='What If Tool'!$E$5,E16,0)</f>
        <v>0</v>
      </c>
      <c r="L16" s="794">
        <f>IF($A16='What If Tool'!$E$5,F16,0)</f>
        <v>0</v>
      </c>
    </row>
    <row r="18" spans="1:20">
      <c r="A18" t="s">
        <v>1116</v>
      </c>
      <c r="B18" s="234">
        <v>2438816</v>
      </c>
      <c r="C18" s="234">
        <v>2839964</v>
      </c>
      <c r="D18" s="234">
        <v>3076862.3114752835</v>
      </c>
      <c r="E18" s="234">
        <f>'Step 7 Final Adjustments'!R28</f>
        <v>3033568.3660428426</v>
      </c>
      <c r="F18" s="234">
        <f>E18-D18</f>
        <v>-43293.945432440843</v>
      </c>
      <c r="H18" s="234">
        <f>IF($A18='What If Tool'!$E$5,B18,0)</f>
        <v>0</v>
      </c>
      <c r="I18" s="234">
        <f>IF($A18='What If Tool'!$E$5,C18,0)</f>
        <v>0</v>
      </c>
      <c r="J18" s="234">
        <f>IF($A18='What If Tool'!$E$5,D18,0)</f>
        <v>0</v>
      </c>
      <c r="K18" s="234">
        <f>IF($A18='What If Tool'!$E$5,E18,0)</f>
        <v>0</v>
      </c>
      <c r="L18" s="234">
        <f>IF($A18='What If Tool'!$E$5,F18,0)</f>
        <v>0</v>
      </c>
    </row>
    <row r="19" spans="1:20">
      <c r="A19" t="s">
        <v>1117</v>
      </c>
      <c r="B19" s="794">
        <v>11252786</v>
      </c>
      <c r="C19" s="794">
        <v>11354618</v>
      </c>
      <c r="D19" s="794">
        <v>11331878.453987531</v>
      </c>
      <c r="E19" s="794">
        <f>'Step 7 Final Adjustments'!R34</f>
        <v>10974383.031738687</v>
      </c>
      <c r="F19" s="794">
        <f>E19-D19</f>
        <v>-357495.42224884406</v>
      </c>
      <c r="H19" s="794">
        <f>IF($A19='What If Tool'!$E$5,B19,0)</f>
        <v>0</v>
      </c>
      <c r="I19" s="794">
        <f>IF($A19='What If Tool'!$E$5,C19,0)</f>
        <v>0</v>
      </c>
      <c r="J19" s="794">
        <f>IF($A19='What If Tool'!$E$5,D19,0)</f>
        <v>0</v>
      </c>
      <c r="K19" s="794">
        <f>IF($A19='What If Tool'!$E$5,E19,0)</f>
        <v>0</v>
      </c>
      <c r="L19" s="794">
        <f>IF($A19='What If Tool'!$E$5,F19,0)</f>
        <v>0</v>
      </c>
    </row>
    <row r="20" spans="1:20">
      <c r="A20" t="s">
        <v>1118</v>
      </c>
      <c r="B20" s="794">
        <v>823212</v>
      </c>
      <c r="C20" s="794">
        <v>833083</v>
      </c>
      <c r="D20" s="794">
        <v>1185279.7481987444</v>
      </c>
      <c r="E20" s="794">
        <f>'Step 7 Final Adjustments'!R32</f>
        <v>965422.26907622605</v>
      </c>
      <c r="F20" s="794">
        <f>E20-D20</f>
        <v>-219857.47912251833</v>
      </c>
      <c r="H20" s="794">
        <f>IF($A20='What If Tool'!$E$5,B20,0)</f>
        <v>0</v>
      </c>
      <c r="I20" s="794">
        <f>IF($A20='What If Tool'!$E$5,C20,0)</f>
        <v>0</v>
      </c>
      <c r="J20" s="794">
        <f>IF($A20='What If Tool'!$E$5,D20,0)</f>
        <v>0</v>
      </c>
      <c r="K20" s="794">
        <f>IF($A20='What If Tool'!$E$5,E20,0)</f>
        <v>0</v>
      </c>
      <c r="L20" s="794">
        <f>IF($A20='What If Tool'!$E$5,F20,0)</f>
        <v>0</v>
      </c>
    </row>
    <row r="21" spans="1:20">
      <c r="H21" s="234">
        <f>SUM(H6:H20)</f>
        <v>14434039</v>
      </c>
      <c r="I21" s="234">
        <f>SUM(I6:I20)</f>
        <v>14831995</v>
      </c>
      <c r="J21" s="234">
        <f>SUM(J6:J20)</f>
        <v>14741202.939066634</v>
      </c>
      <c r="K21" s="234">
        <f>SUM(K6:K20)</f>
        <v>17320490.530335311</v>
      </c>
      <c r="L21" s="234">
        <f>SUM(L6:L20)</f>
        <v>2579287.5912686773</v>
      </c>
    </row>
    <row r="22" spans="1:20">
      <c r="B22" s="1982" t="s">
        <v>1191</v>
      </c>
      <c r="C22" s="1982"/>
      <c r="D22" s="1982"/>
      <c r="E22" s="1982"/>
      <c r="F22" s="1982"/>
      <c r="G22" s="1982"/>
      <c r="H22" s="1982"/>
      <c r="I22" s="1982"/>
      <c r="J22" s="1982"/>
      <c r="K22" s="1982"/>
    </row>
    <row r="23" spans="1:20" ht="31.5">
      <c r="A23" s="1155" t="str">
        <f>'What If Tool'!E5</f>
        <v>CEOAS</v>
      </c>
      <c r="B23" s="1144" t="s">
        <v>1167</v>
      </c>
      <c r="C23" s="1144" t="s">
        <v>1166</v>
      </c>
      <c r="D23" s="1144" t="s">
        <v>1126</v>
      </c>
      <c r="E23" s="1144" t="s">
        <v>1127</v>
      </c>
      <c r="F23" s="1144" t="s">
        <v>1128</v>
      </c>
      <c r="G23" s="1144" t="s">
        <v>1129</v>
      </c>
      <c r="H23" s="1151" t="s">
        <v>1175</v>
      </c>
      <c r="I23" s="1151" t="s">
        <v>1176</v>
      </c>
      <c r="J23" s="1151" t="s">
        <v>1177</v>
      </c>
      <c r="K23" s="1151" t="s">
        <v>1174</v>
      </c>
      <c r="L23" s="1144" t="s">
        <v>178</v>
      </c>
      <c r="M23" s="1144" t="s">
        <v>1130</v>
      </c>
      <c r="N23" s="1144" t="s">
        <v>1131</v>
      </c>
      <c r="O23" s="1144" t="s">
        <v>1132</v>
      </c>
      <c r="P23" s="1144" t="s">
        <v>1133</v>
      </c>
      <c r="Q23" s="1144" t="s">
        <v>1134</v>
      </c>
      <c r="R23" s="1144" t="s">
        <v>1135</v>
      </c>
      <c r="S23" s="1144" t="s">
        <v>1189</v>
      </c>
      <c r="T23" s="1144" t="s">
        <v>1190</v>
      </c>
    </row>
    <row r="24" spans="1:20">
      <c r="A24" s="1156"/>
      <c r="B24" s="1146">
        <f>'What If Tool'!C22</f>
        <v>0</v>
      </c>
      <c r="C24" s="1146">
        <f>'What If Tool'!C23</f>
        <v>0</v>
      </c>
      <c r="D24" s="1146">
        <f>'What If Tool'!C24</f>
        <v>0</v>
      </c>
      <c r="E24" s="1146">
        <f>'What If Tool'!C25</f>
        <v>0</v>
      </c>
      <c r="F24" s="1146">
        <f>'What If Tool'!C26</f>
        <v>0</v>
      </c>
      <c r="G24" s="1146">
        <f>'What If Tool'!C27</f>
        <v>0</v>
      </c>
      <c r="H24" s="1149">
        <f>'What If Tool'!C28</f>
        <v>0</v>
      </c>
      <c r="I24" s="1149">
        <f>'What If Tool'!C29</f>
        <v>0</v>
      </c>
      <c r="J24" s="1149">
        <f>'What If Tool'!C30</f>
        <v>0</v>
      </c>
      <c r="K24" s="1149">
        <f>'What If Tool'!C31</f>
        <v>0</v>
      </c>
      <c r="L24" s="1146">
        <f>'What If Tool'!C34</f>
        <v>0</v>
      </c>
      <c r="M24" s="1146">
        <f>'What If Tool'!C35</f>
        <v>0</v>
      </c>
      <c r="N24" s="1146">
        <f>'What If Tool'!C36</f>
        <v>0</v>
      </c>
      <c r="O24" s="1146">
        <f>'What If Tool'!C37</f>
        <v>0</v>
      </c>
      <c r="P24" s="1146">
        <f>'What If Tool'!C39</f>
        <v>0</v>
      </c>
      <c r="Q24" s="1146">
        <f>'What If Tool'!C40</f>
        <v>0</v>
      </c>
      <c r="R24" s="1146">
        <f>'What If Tool'!C41</f>
        <v>0</v>
      </c>
      <c r="S24" s="1146">
        <f>'What If Tool'!C38</f>
        <v>0</v>
      </c>
      <c r="T24" s="1146">
        <f>'What If Tool'!C32</f>
        <v>0</v>
      </c>
    </row>
    <row r="25" spans="1:20">
      <c r="A25" t="s">
        <v>605</v>
      </c>
      <c r="B25" s="314">
        <f>IF($A$23=$A25,B$24,0)</f>
        <v>0</v>
      </c>
      <c r="C25" s="314">
        <f t="shared" ref="C25:T25" si="1">IF($A$23=$A25,C$24,0)</f>
        <v>0</v>
      </c>
      <c r="D25" s="314">
        <f t="shared" si="1"/>
        <v>0</v>
      </c>
      <c r="E25" s="314">
        <f t="shared" si="1"/>
        <v>0</v>
      </c>
      <c r="F25" s="314">
        <f t="shared" si="1"/>
        <v>0</v>
      </c>
      <c r="G25" s="314">
        <f t="shared" si="1"/>
        <v>0</v>
      </c>
      <c r="H25" s="314">
        <f t="shared" si="1"/>
        <v>0</v>
      </c>
      <c r="I25" s="314">
        <f t="shared" si="1"/>
        <v>0</v>
      </c>
      <c r="J25" s="314">
        <f t="shared" si="1"/>
        <v>0</v>
      </c>
      <c r="K25" s="314">
        <f t="shared" si="1"/>
        <v>0</v>
      </c>
      <c r="L25" s="314">
        <f t="shared" si="1"/>
        <v>0</v>
      </c>
      <c r="M25" s="314">
        <f t="shared" si="1"/>
        <v>0</v>
      </c>
      <c r="N25" s="314">
        <f t="shared" si="1"/>
        <v>0</v>
      </c>
      <c r="O25" s="314">
        <f t="shared" si="1"/>
        <v>0</v>
      </c>
      <c r="P25" s="314">
        <f t="shared" si="1"/>
        <v>0</v>
      </c>
      <c r="Q25" s="314">
        <f t="shared" si="1"/>
        <v>0</v>
      </c>
      <c r="R25" s="314">
        <f t="shared" si="1"/>
        <v>0</v>
      </c>
      <c r="S25" s="314">
        <f t="shared" si="1"/>
        <v>0</v>
      </c>
      <c r="T25" s="314">
        <f t="shared" si="1"/>
        <v>0</v>
      </c>
    </row>
    <row r="26" spans="1:20">
      <c r="A26" t="s">
        <v>6</v>
      </c>
      <c r="B26" s="314">
        <f t="shared" ref="B26:T36" si="2">IF($A$23=$A26,B$24,0)</f>
        <v>0</v>
      </c>
      <c r="C26" s="314">
        <f t="shared" si="2"/>
        <v>0</v>
      </c>
      <c r="D26" s="314">
        <f t="shared" si="2"/>
        <v>0</v>
      </c>
      <c r="E26" s="314">
        <f t="shared" si="2"/>
        <v>0</v>
      </c>
      <c r="F26" s="314">
        <f t="shared" si="2"/>
        <v>0</v>
      </c>
      <c r="G26" s="314">
        <f t="shared" si="2"/>
        <v>0</v>
      </c>
      <c r="H26" s="314">
        <f t="shared" si="2"/>
        <v>0</v>
      </c>
      <c r="I26" s="314">
        <f t="shared" si="2"/>
        <v>0</v>
      </c>
      <c r="J26" s="314">
        <f t="shared" si="2"/>
        <v>0</v>
      </c>
      <c r="K26" s="314">
        <f t="shared" si="2"/>
        <v>0</v>
      </c>
      <c r="L26" s="314">
        <f t="shared" si="2"/>
        <v>0</v>
      </c>
      <c r="M26" s="314">
        <f t="shared" si="2"/>
        <v>0</v>
      </c>
      <c r="N26" s="314">
        <f t="shared" si="2"/>
        <v>0</v>
      </c>
      <c r="O26" s="314">
        <f t="shared" si="2"/>
        <v>0</v>
      </c>
      <c r="P26" s="314">
        <f t="shared" si="2"/>
        <v>0</v>
      </c>
      <c r="Q26" s="314">
        <f t="shared" si="2"/>
        <v>0</v>
      </c>
      <c r="R26" s="314">
        <f t="shared" si="2"/>
        <v>0</v>
      </c>
      <c r="S26" s="314">
        <f t="shared" si="2"/>
        <v>0</v>
      </c>
      <c r="T26" s="314">
        <f t="shared" si="2"/>
        <v>0</v>
      </c>
    </row>
    <row r="27" spans="1:20">
      <c r="A27" t="s">
        <v>8</v>
      </c>
      <c r="B27" s="314">
        <f t="shared" si="2"/>
        <v>0</v>
      </c>
      <c r="C27" s="314">
        <f t="shared" si="2"/>
        <v>0</v>
      </c>
      <c r="D27" s="314">
        <f t="shared" si="2"/>
        <v>0</v>
      </c>
      <c r="E27" s="314">
        <f t="shared" si="2"/>
        <v>0</v>
      </c>
      <c r="F27" s="314">
        <f t="shared" si="2"/>
        <v>0</v>
      </c>
      <c r="G27" s="314">
        <f t="shared" si="2"/>
        <v>0</v>
      </c>
      <c r="H27" s="314">
        <f t="shared" si="2"/>
        <v>0</v>
      </c>
      <c r="I27" s="314">
        <f t="shared" si="2"/>
        <v>0</v>
      </c>
      <c r="J27" s="314">
        <f t="shared" si="2"/>
        <v>0</v>
      </c>
      <c r="K27" s="314">
        <f t="shared" si="2"/>
        <v>0</v>
      </c>
      <c r="L27" s="314">
        <f t="shared" si="2"/>
        <v>0</v>
      </c>
      <c r="M27" s="314">
        <f t="shared" si="2"/>
        <v>0</v>
      </c>
      <c r="N27" s="314">
        <f t="shared" si="2"/>
        <v>0</v>
      </c>
      <c r="O27" s="314">
        <f t="shared" si="2"/>
        <v>0</v>
      </c>
      <c r="P27" s="314">
        <f t="shared" si="2"/>
        <v>0</v>
      </c>
      <c r="Q27" s="314">
        <f t="shared" si="2"/>
        <v>0</v>
      </c>
      <c r="R27" s="314">
        <f t="shared" si="2"/>
        <v>0</v>
      </c>
      <c r="S27" s="314">
        <f t="shared" si="2"/>
        <v>0</v>
      </c>
      <c r="T27" s="314">
        <f t="shared" si="2"/>
        <v>0</v>
      </c>
    </row>
    <row r="28" spans="1:20">
      <c r="A28" t="s">
        <v>2</v>
      </c>
      <c r="B28" s="314">
        <f t="shared" si="2"/>
        <v>0</v>
      </c>
      <c r="C28" s="314">
        <f t="shared" si="2"/>
        <v>0</v>
      </c>
      <c r="D28" s="314">
        <f t="shared" si="2"/>
        <v>0</v>
      </c>
      <c r="E28" s="314">
        <f t="shared" si="2"/>
        <v>0</v>
      </c>
      <c r="F28" s="314">
        <f t="shared" si="2"/>
        <v>0</v>
      </c>
      <c r="G28" s="314">
        <f t="shared" si="2"/>
        <v>0</v>
      </c>
      <c r="H28" s="314">
        <f t="shared" si="2"/>
        <v>0</v>
      </c>
      <c r="I28" s="314">
        <f t="shared" si="2"/>
        <v>0</v>
      </c>
      <c r="J28" s="314">
        <f t="shared" si="2"/>
        <v>0</v>
      </c>
      <c r="K28" s="314">
        <f t="shared" si="2"/>
        <v>0</v>
      </c>
      <c r="L28" s="314">
        <f t="shared" si="2"/>
        <v>0</v>
      </c>
      <c r="M28" s="314">
        <f t="shared" si="2"/>
        <v>0</v>
      </c>
      <c r="N28" s="314">
        <f t="shared" si="2"/>
        <v>0</v>
      </c>
      <c r="O28" s="314">
        <f t="shared" si="2"/>
        <v>0</v>
      </c>
      <c r="P28" s="314">
        <f t="shared" si="2"/>
        <v>0</v>
      </c>
      <c r="Q28" s="314">
        <f t="shared" si="2"/>
        <v>0</v>
      </c>
      <c r="R28" s="314">
        <f t="shared" si="2"/>
        <v>0</v>
      </c>
      <c r="S28" s="314">
        <f t="shared" si="2"/>
        <v>0</v>
      </c>
      <c r="T28" s="314">
        <f t="shared" si="2"/>
        <v>0</v>
      </c>
    </row>
    <row r="29" spans="1:20">
      <c r="A29" t="s">
        <v>10</v>
      </c>
      <c r="B29" s="314">
        <f t="shared" si="2"/>
        <v>0</v>
      </c>
      <c r="C29" s="314">
        <f t="shared" si="2"/>
        <v>0</v>
      </c>
      <c r="D29" s="314">
        <f t="shared" si="2"/>
        <v>0</v>
      </c>
      <c r="E29" s="314">
        <f t="shared" si="2"/>
        <v>0</v>
      </c>
      <c r="F29" s="314">
        <f t="shared" si="2"/>
        <v>0</v>
      </c>
      <c r="G29" s="314">
        <f t="shared" si="2"/>
        <v>0</v>
      </c>
      <c r="H29" s="314">
        <f t="shared" si="2"/>
        <v>0</v>
      </c>
      <c r="I29" s="314">
        <f t="shared" si="2"/>
        <v>0</v>
      </c>
      <c r="J29" s="314">
        <f t="shared" si="2"/>
        <v>0</v>
      </c>
      <c r="K29" s="314">
        <f t="shared" si="2"/>
        <v>0</v>
      </c>
      <c r="L29" s="314">
        <f t="shared" si="2"/>
        <v>0</v>
      </c>
      <c r="M29" s="314">
        <f t="shared" si="2"/>
        <v>0</v>
      </c>
      <c r="N29" s="314">
        <f t="shared" si="2"/>
        <v>0</v>
      </c>
      <c r="O29" s="314">
        <f t="shared" si="2"/>
        <v>0</v>
      </c>
      <c r="P29" s="314">
        <f t="shared" si="2"/>
        <v>0</v>
      </c>
      <c r="Q29" s="314">
        <f t="shared" si="2"/>
        <v>0</v>
      </c>
      <c r="R29" s="314">
        <f t="shared" si="2"/>
        <v>0</v>
      </c>
      <c r="S29" s="314">
        <f t="shared" si="2"/>
        <v>0</v>
      </c>
      <c r="T29" s="314">
        <f t="shared" si="2"/>
        <v>0</v>
      </c>
    </row>
    <row r="30" spans="1:20">
      <c r="A30" t="s">
        <v>4</v>
      </c>
      <c r="B30" s="314">
        <f t="shared" si="2"/>
        <v>0</v>
      </c>
      <c r="C30" s="314">
        <f t="shared" si="2"/>
        <v>0</v>
      </c>
      <c r="D30" s="314">
        <f t="shared" si="2"/>
        <v>0</v>
      </c>
      <c r="E30" s="314">
        <f t="shared" si="2"/>
        <v>0</v>
      </c>
      <c r="F30" s="314">
        <f t="shared" si="2"/>
        <v>0</v>
      </c>
      <c r="G30" s="314">
        <f t="shared" si="2"/>
        <v>0</v>
      </c>
      <c r="H30" s="314">
        <f t="shared" si="2"/>
        <v>0</v>
      </c>
      <c r="I30" s="314">
        <f t="shared" si="2"/>
        <v>0</v>
      </c>
      <c r="J30" s="314">
        <f t="shared" si="2"/>
        <v>0</v>
      </c>
      <c r="K30" s="314">
        <f t="shared" si="2"/>
        <v>0</v>
      </c>
      <c r="L30" s="314">
        <f t="shared" si="2"/>
        <v>0</v>
      </c>
      <c r="M30" s="314">
        <f t="shared" si="2"/>
        <v>0</v>
      </c>
      <c r="N30" s="314">
        <f t="shared" si="2"/>
        <v>0</v>
      </c>
      <c r="O30" s="314">
        <f t="shared" si="2"/>
        <v>0</v>
      </c>
      <c r="P30" s="314">
        <f t="shared" si="2"/>
        <v>0</v>
      </c>
      <c r="Q30" s="314">
        <f t="shared" si="2"/>
        <v>0</v>
      </c>
      <c r="R30" s="314">
        <f t="shared" si="2"/>
        <v>0</v>
      </c>
      <c r="S30" s="314">
        <f t="shared" si="2"/>
        <v>0</v>
      </c>
      <c r="T30" s="314">
        <f t="shared" si="2"/>
        <v>0</v>
      </c>
    </row>
    <row r="31" spans="1:20">
      <c r="A31" s="461" t="s">
        <v>14</v>
      </c>
      <c r="B31" s="314">
        <f t="shared" si="2"/>
        <v>0</v>
      </c>
      <c r="C31" s="314">
        <f t="shared" si="2"/>
        <v>0</v>
      </c>
      <c r="D31" s="314">
        <f t="shared" si="2"/>
        <v>0</v>
      </c>
      <c r="E31" s="314">
        <f t="shared" si="2"/>
        <v>0</v>
      </c>
      <c r="F31" s="314">
        <f t="shared" si="2"/>
        <v>0</v>
      </c>
      <c r="G31" s="314">
        <f t="shared" si="2"/>
        <v>0</v>
      </c>
      <c r="H31" s="314">
        <f t="shared" si="2"/>
        <v>0</v>
      </c>
      <c r="I31" s="314">
        <f t="shared" si="2"/>
        <v>0</v>
      </c>
      <c r="J31" s="314">
        <f t="shared" si="2"/>
        <v>0</v>
      </c>
      <c r="K31" s="314">
        <f t="shared" si="2"/>
        <v>0</v>
      </c>
      <c r="L31" s="314">
        <f t="shared" si="2"/>
        <v>0</v>
      </c>
      <c r="M31" s="314">
        <f t="shared" si="2"/>
        <v>0</v>
      </c>
      <c r="N31" s="314">
        <f t="shared" si="2"/>
        <v>0</v>
      </c>
      <c r="O31" s="314">
        <f t="shared" si="2"/>
        <v>0</v>
      </c>
      <c r="P31" s="314">
        <f t="shared" si="2"/>
        <v>0</v>
      </c>
      <c r="Q31" s="314">
        <f t="shared" si="2"/>
        <v>0</v>
      </c>
      <c r="R31" s="314">
        <f t="shared" si="2"/>
        <v>0</v>
      </c>
      <c r="S31" s="314">
        <f t="shared" si="2"/>
        <v>0</v>
      </c>
      <c r="T31" s="314">
        <f t="shared" si="2"/>
        <v>0</v>
      </c>
    </row>
    <row r="32" spans="1:20">
      <c r="A32" t="s">
        <v>3</v>
      </c>
      <c r="B32" s="314">
        <f t="shared" si="2"/>
        <v>0</v>
      </c>
      <c r="C32" s="314">
        <f t="shared" si="2"/>
        <v>0</v>
      </c>
      <c r="D32" s="314">
        <f t="shared" si="2"/>
        <v>0</v>
      </c>
      <c r="E32" s="314">
        <f t="shared" si="2"/>
        <v>0</v>
      </c>
      <c r="F32" s="314">
        <f t="shared" si="2"/>
        <v>0</v>
      </c>
      <c r="G32" s="314">
        <f t="shared" si="2"/>
        <v>0</v>
      </c>
      <c r="H32" s="314">
        <f t="shared" si="2"/>
        <v>0</v>
      </c>
      <c r="I32" s="314">
        <f t="shared" si="2"/>
        <v>0</v>
      </c>
      <c r="J32" s="314">
        <f t="shared" si="2"/>
        <v>0</v>
      </c>
      <c r="K32" s="314">
        <f t="shared" si="2"/>
        <v>0</v>
      </c>
      <c r="L32" s="314">
        <f t="shared" si="2"/>
        <v>0</v>
      </c>
      <c r="M32" s="314">
        <f t="shared" si="2"/>
        <v>0</v>
      </c>
      <c r="N32" s="314">
        <f t="shared" si="2"/>
        <v>0</v>
      </c>
      <c r="O32" s="314">
        <f t="shared" si="2"/>
        <v>0</v>
      </c>
      <c r="P32" s="314">
        <f t="shared" si="2"/>
        <v>0</v>
      </c>
      <c r="Q32" s="314">
        <f t="shared" si="2"/>
        <v>0</v>
      </c>
      <c r="R32" s="314">
        <f t="shared" si="2"/>
        <v>0</v>
      </c>
      <c r="S32" s="314">
        <f t="shared" si="2"/>
        <v>0</v>
      </c>
      <c r="T32" s="314">
        <f t="shared" si="2"/>
        <v>0</v>
      </c>
    </row>
    <row r="33" spans="1:20">
      <c r="A33" t="s">
        <v>1</v>
      </c>
      <c r="B33" s="314">
        <f t="shared" si="2"/>
        <v>0</v>
      </c>
      <c r="C33" s="314">
        <f t="shared" si="2"/>
        <v>0</v>
      </c>
      <c r="D33" s="314">
        <f t="shared" si="2"/>
        <v>0</v>
      </c>
      <c r="E33" s="314">
        <f t="shared" si="2"/>
        <v>0</v>
      </c>
      <c r="F33" s="314">
        <f t="shared" si="2"/>
        <v>0</v>
      </c>
      <c r="G33" s="314">
        <f t="shared" si="2"/>
        <v>0</v>
      </c>
      <c r="H33" s="314">
        <f t="shared" si="2"/>
        <v>0</v>
      </c>
      <c r="I33" s="314">
        <f t="shared" si="2"/>
        <v>0</v>
      </c>
      <c r="J33" s="314">
        <f t="shared" si="2"/>
        <v>0</v>
      </c>
      <c r="K33" s="314">
        <f t="shared" si="2"/>
        <v>0</v>
      </c>
      <c r="L33" s="314">
        <f t="shared" si="2"/>
        <v>0</v>
      </c>
      <c r="M33" s="314">
        <f t="shared" si="2"/>
        <v>0</v>
      </c>
      <c r="N33" s="314">
        <f t="shared" si="2"/>
        <v>0</v>
      </c>
      <c r="O33" s="314">
        <f t="shared" si="2"/>
        <v>0</v>
      </c>
      <c r="P33" s="314">
        <f t="shared" si="2"/>
        <v>0</v>
      </c>
      <c r="Q33" s="314">
        <f t="shared" si="2"/>
        <v>0</v>
      </c>
      <c r="R33" s="314">
        <f t="shared" si="2"/>
        <v>0</v>
      </c>
      <c r="S33" s="314">
        <f t="shared" si="2"/>
        <v>0</v>
      </c>
      <c r="T33" s="314">
        <f t="shared" si="2"/>
        <v>0</v>
      </c>
    </row>
    <row r="34" spans="1:20">
      <c r="A34" t="s">
        <v>7</v>
      </c>
      <c r="B34" s="314">
        <f t="shared" si="2"/>
        <v>0</v>
      </c>
      <c r="C34" s="314">
        <f t="shared" si="2"/>
        <v>0</v>
      </c>
      <c r="D34" s="314">
        <f t="shared" si="2"/>
        <v>0</v>
      </c>
      <c r="E34" s="314">
        <f t="shared" si="2"/>
        <v>0</v>
      </c>
      <c r="F34" s="314">
        <f t="shared" si="2"/>
        <v>0</v>
      </c>
      <c r="G34" s="314">
        <f t="shared" si="2"/>
        <v>0</v>
      </c>
      <c r="H34" s="314">
        <f t="shared" si="2"/>
        <v>0</v>
      </c>
      <c r="I34" s="314">
        <f t="shared" si="2"/>
        <v>0</v>
      </c>
      <c r="J34" s="314">
        <f t="shared" si="2"/>
        <v>0</v>
      </c>
      <c r="K34" s="314">
        <f t="shared" si="2"/>
        <v>0</v>
      </c>
      <c r="L34" s="314">
        <f t="shared" si="2"/>
        <v>0</v>
      </c>
      <c r="M34" s="314">
        <f t="shared" si="2"/>
        <v>0</v>
      </c>
      <c r="N34" s="314">
        <f t="shared" si="2"/>
        <v>0</v>
      </c>
      <c r="O34" s="314">
        <f t="shared" si="2"/>
        <v>0</v>
      </c>
      <c r="P34" s="314">
        <f t="shared" si="2"/>
        <v>0</v>
      </c>
      <c r="Q34" s="314">
        <f t="shared" si="2"/>
        <v>0</v>
      </c>
      <c r="R34" s="314">
        <f t="shared" si="2"/>
        <v>0</v>
      </c>
      <c r="S34" s="314">
        <f t="shared" si="2"/>
        <v>0</v>
      </c>
      <c r="T34" s="314">
        <f t="shared" si="2"/>
        <v>0</v>
      </c>
    </row>
    <row r="35" spans="1:20">
      <c r="A35" t="s">
        <v>9</v>
      </c>
      <c r="B35" s="314">
        <f t="shared" si="2"/>
        <v>0</v>
      </c>
      <c r="C35" s="314">
        <f t="shared" si="2"/>
        <v>0</v>
      </c>
      <c r="D35" s="314">
        <f t="shared" si="2"/>
        <v>0</v>
      </c>
      <c r="E35" s="314">
        <f t="shared" si="2"/>
        <v>0</v>
      </c>
      <c r="F35" s="314">
        <f t="shared" si="2"/>
        <v>0</v>
      </c>
      <c r="G35" s="314">
        <f t="shared" si="2"/>
        <v>0</v>
      </c>
      <c r="H35" s="314">
        <f t="shared" si="2"/>
        <v>0</v>
      </c>
      <c r="I35" s="314">
        <f t="shared" si="2"/>
        <v>0</v>
      </c>
      <c r="J35" s="314">
        <f t="shared" si="2"/>
        <v>0</v>
      </c>
      <c r="K35" s="314">
        <f t="shared" si="2"/>
        <v>0</v>
      </c>
      <c r="L35" s="314">
        <f t="shared" si="2"/>
        <v>0</v>
      </c>
      <c r="M35" s="314">
        <f t="shared" si="2"/>
        <v>0</v>
      </c>
      <c r="N35" s="314">
        <f t="shared" si="2"/>
        <v>0</v>
      </c>
      <c r="O35" s="314">
        <f t="shared" si="2"/>
        <v>0</v>
      </c>
      <c r="P35" s="314">
        <f t="shared" si="2"/>
        <v>0</v>
      </c>
      <c r="Q35" s="314">
        <f t="shared" si="2"/>
        <v>0</v>
      </c>
      <c r="R35" s="314">
        <f t="shared" si="2"/>
        <v>0</v>
      </c>
      <c r="S35" s="314">
        <f t="shared" si="2"/>
        <v>0</v>
      </c>
      <c r="T35" s="314">
        <f t="shared" si="2"/>
        <v>0</v>
      </c>
    </row>
    <row r="36" spans="1:20">
      <c r="A36" s="57" t="s">
        <v>5</v>
      </c>
      <c r="B36" s="1121">
        <f t="shared" si="2"/>
        <v>0</v>
      </c>
      <c r="C36" s="1121">
        <f t="shared" si="2"/>
        <v>0</v>
      </c>
      <c r="D36" s="1121">
        <f t="shared" si="2"/>
        <v>0</v>
      </c>
      <c r="E36" s="1121">
        <f t="shared" si="2"/>
        <v>0</v>
      </c>
      <c r="F36" s="1121">
        <f t="shared" si="2"/>
        <v>0</v>
      </c>
      <c r="G36" s="1121">
        <f t="shared" si="2"/>
        <v>0</v>
      </c>
      <c r="H36" s="1121">
        <f t="shared" si="2"/>
        <v>0</v>
      </c>
      <c r="I36" s="1121">
        <f t="shared" si="2"/>
        <v>0</v>
      </c>
      <c r="J36" s="1121">
        <f t="shared" si="2"/>
        <v>0</v>
      </c>
      <c r="K36" s="1121">
        <f t="shared" si="2"/>
        <v>0</v>
      </c>
      <c r="L36" s="1121">
        <f t="shared" si="2"/>
        <v>0</v>
      </c>
      <c r="M36" s="1121">
        <f t="shared" si="2"/>
        <v>0</v>
      </c>
      <c r="N36" s="1121">
        <f t="shared" si="2"/>
        <v>0</v>
      </c>
      <c r="O36" s="1121">
        <f t="shared" si="2"/>
        <v>0</v>
      </c>
      <c r="P36" s="1121">
        <f t="shared" si="2"/>
        <v>0</v>
      </c>
      <c r="Q36" s="1121">
        <f t="shared" si="2"/>
        <v>0</v>
      </c>
      <c r="R36" s="1121">
        <f t="shared" si="2"/>
        <v>0</v>
      </c>
      <c r="S36" s="1121">
        <f t="shared" si="2"/>
        <v>0</v>
      </c>
      <c r="T36" s="1121">
        <f t="shared" si="2"/>
        <v>0</v>
      </c>
    </row>
    <row r="37" spans="1:20">
      <c r="A37" s="57"/>
      <c r="B37" s="1121"/>
      <c r="C37" s="1121"/>
      <c r="D37" s="1121"/>
      <c r="E37" s="1121"/>
      <c r="F37" s="1121"/>
      <c r="G37" s="1121"/>
      <c r="H37" s="1121"/>
      <c r="I37" s="1121"/>
      <c r="J37" s="1121"/>
      <c r="K37" s="1121"/>
      <c r="L37" s="1121"/>
      <c r="M37" s="1121"/>
      <c r="N37" s="1121"/>
      <c r="O37" s="1121"/>
      <c r="P37" s="1121"/>
      <c r="Q37" s="1121"/>
      <c r="R37" s="1121"/>
      <c r="S37" s="1121"/>
      <c r="T37" s="1121"/>
    </row>
    <row r="38" spans="1:20">
      <c r="A38" s="57"/>
      <c r="B38" s="1121"/>
      <c r="C38" s="1121"/>
      <c r="D38" s="1121"/>
      <c r="E38" s="1121"/>
      <c r="F38" s="1121"/>
      <c r="G38" s="1121"/>
      <c r="H38" s="1121"/>
      <c r="I38" s="1121"/>
      <c r="J38" s="1121"/>
      <c r="K38" s="1121"/>
      <c r="L38" s="1121"/>
      <c r="M38" s="1121"/>
      <c r="N38" s="1121"/>
      <c r="O38" s="1121"/>
      <c r="P38" s="1121"/>
      <c r="Q38" s="1121"/>
      <c r="R38" s="1121"/>
      <c r="S38" s="1121"/>
      <c r="T38" s="1121"/>
    </row>
    <row r="39" spans="1:20">
      <c r="A39" s="57"/>
      <c r="B39" s="1121"/>
      <c r="C39" s="1121"/>
      <c r="D39" s="1121"/>
      <c r="E39" s="1121"/>
      <c r="F39" s="1121"/>
      <c r="G39" s="1121"/>
      <c r="H39" s="1121"/>
      <c r="I39" s="1121"/>
      <c r="J39" s="1121"/>
      <c r="K39" s="1121"/>
      <c r="L39" s="1121"/>
      <c r="M39" s="1121"/>
      <c r="N39" s="1121"/>
      <c r="O39" s="1121"/>
      <c r="P39" s="1121"/>
      <c r="Q39" s="1121"/>
      <c r="R39" s="1121"/>
      <c r="S39" s="1121"/>
      <c r="T39" s="1121"/>
    </row>
    <row r="40" spans="1:20" ht="16.5" thickBot="1">
      <c r="A40" s="354" t="s">
        <v>1116</v>
      </c>
      <c r="B40" s="1157">
        <f t="shared" ref="B40:T40" si="3">IF($A$23=$A40,B$24,0)</f>
        <v>0</v>
      </c>
      <c r="C40" s="1157">
        <f t="shared" si="3"/>
        <v>0</v>
      </c>
      <c r="D40" s="1157">
        <f t="shared" si="3"/>
        <v>0</v>
      </c>
      <c r="E40" s="1157">
        <f t="shared" si="3"/>
        <v>0</v>
      </c>
      <c r="F40" s="1157">
        <f t="shared" si="3"/>
        <v>0</v>
      </c>
      <c r="G40" s="1157">
        <f t="shared" si="3"/>
        <v>0</v>
      </c>
      <c r="H40" s="1157">
        <f t="shared" si="3"/>
        <v>0</v>
      </c>
      <c r="I40" s="1157">
        <f t="shared" si="3"/>
        <v>0</v>
      </c>
      <c r="J40" s="1157">
        <f t="shared" si="3"/>
        <v>0</v>
      </c>
      <c r="K40" s="1157">
        <f t="shared" si="3"/>
        <v>0</v>
      </c>
      <c r="L40" s="1157">
        <f t="shared" si="3"/>
        <v>0</v>
      </c>
      <c r="M40" s="1157">
        <f t="shared" si="3"/>
        <v>0</v>
      </c>
      <c r="N40" s="1157">
        <f t="shared" si="3"/>
        <v>0</v>
      </c>
      <c r="O40" s="1157">
        <f t="shared" si="3"/>
        <v>0</v>
      </c>
      <c r="P40" s="1157">
        <f t="shared" si="3"/>
        <v>0</v>
      </c>
      <c r="Q40" s="1157">
        <f t="shared" si="3"/>
        <v>0</v>
      </c>
      <c r="R40" s="1157">
        <f t="shared" si="3"/>
        <v>0</v>
      </c>
      <c r="S40" s="1157">
        <f t="shared" si="3"/>
        <v>0</v>
      </c>
      <c r="T40" s="1157">
        <f t="shared" si="3"/>
        <v>0</v>
      </c>
    </row>
    <row r="41" spans="1:20" ht="16.5" thickTop="1"/>
    <row r="42" spans="1:20">
      <c r="A42" t="s">
        <v>1137</v>
      </c>
    </row>
    <row r="43" spans="1:20">
      <c r="A43" s="1122" t="s">
        <v>1139</v>
      </c>
      <c r="B43" t="s">
        <v>1138</v>
      </c>
      <c r="D43" s="314" t="s">
        <v>1148</v>
      </c>
      <c r="E43" s="314" t="s">
        <v>478</v>
      </c>
      <c r="F43" s="314" t="s">
        <v>1162</v>
      </c>
    </row>
    <row r="44" spans="1:20">
      <c r="A44" s="1148" t="s">
        <v>1125</v>
      </c>
      <c r="B44" t="s">
        <v>1163</v>
      </c>
      <c r="D44" s="202">
        <f>0.88*(0.33*594+0.67*195)</f>
        <v>287.46960000000001</v>
      </c>
      <c r="E44">
        <f>B24+C24+T24</f>
        <v>0</v>
      </c>
      <c r="F44" s="1159">
        <f>(E44)*D44</f>
        <v>0</v>
      </c>
    </row>
    <row r="45" spans="1:20">
      <c r="A45" s="1148" t="s">
        <v>1126</v>
      </c>
      <c r="B45" t="s">
        <v>1163</v>
      </c>
      <c r="D45" s="202">
        <f>D44</f>
        <v>287.46960000000001</v>
      </c>
      <c r="E45">
        <f>D24</f>
        <v>0</v>
      </c>
      <c r="F45" s="1159">
        <f t="shared" ref="F45:F52" si="4">E45*D45</f>
        <v>0</v>
      </c>
    </row>
    <row r="46" spans="1:20">
      <c r="A46" s="1148" t="s">
        <v>1127</v>
      </c>
      <c r="B46" t="s">
        <v>1163</v>
      </c>
      <c r="D46" s="202">
        <f>D45</f>
        <v>287.46960000000001</v>
      </c>
      <c r="E46">
        <f>E24</f>
        <v>0</v>
      </c>
      <c r="F46" s="1159">
        <f t="shared" si="4"/>
        <v>0</v>
      </c>
    </row>
    <row r="47" spans="1:20">
      <c r="A47" s="1148" t="s">
        <v>1128</v>
      </c>
      <c r="B47" t="s">
        <v>1141</v>
      </c>
      <c r="D47" s="202">
        <f>0.35*843+0.65*457</f>
        <v>592.09999999999991</v>
      </c>
      <c r="E47">
        <f>F24</f>
        <v>0</v>
      </c>
      <c r="F47" s="1159">
        <f t="shared" si="4"/>
        <v>0</v>
      </c>
    </row>
    <row r="48" spans="1:20">
      <c r="A48" s="1148" t="s">
        <v>1129</v>
      </c>
      <c r="B48" t="s">
        <v>1141</v>
      </c>
      <c r="D48" s="202">
        <f>D47</f>
        <v>592.09999999999991</v>
      </c>
      <c r="E48">
        <f>G24</f>
        <v>0</v>
      </c>
      <c r="F48" s="213">
        <f t="shared" si="4"/>
        <v>0</v>
      </c>
    </row>
    <row r="49" spans="1:6">
      <c r="A49" s="1148" t="s">
        <v>1178</v>
      </c>
      <c r="B49" t="s">
        <v>1142</v>
      </c>
      <c r="D49" s="202">
        <v>288</v>
      </c>
      <c r="E49">
        <f>H24</f>
        <v>0</v>
      </c>
      <c r="F49" s="1159">
        <f t="shared" si="4"/>
        <v>0</v>
      </c>
    </row>
    <row r="50" spans="1:6">
      <c r="A50" s="1148" t="s">
        <v>1176</v>
      </c>
      <c r="B50" t="s">
        <v>1142</v>
      </c>
      <c r="D50" s="202">
        <v>528</v>
      </c>
      <c r="E50">
        <f>I24</f>
        <v>0</v>
      </c>
      <c r="F50" s="1159">
        <f t="shared" si="4"/>
        <v>0</v>
      </c>
    </row>
    <row r="51" spans="1:6">
      <c r="A51" s="1148" t="s">
        <v>1179</v>
      </c>
      <c r="B51" t="s">
        <v>1142</v>
      </c>
      <c r="D51" s="202">
        <v>201</v>
      </c>
      <c r="E51">
        <f>J24</f>
        <v>0</v>
      </c>
      <c r="F51" s="1159">
        <f t="shared" si="4"/>
        <v>0</v>
      </c>
    </row>
    <row r="52" spans="1:6">
      <c r="A52" s="1148" t="s">
        <v>1174</v>
      </c>
      <c r="B52" t="s">
        <v>1142</v>
      </c>
      <c r="D52" s="202">
        <v>457</v>
      </c>
      <c r="E52">
        <f>K24</f>
        <v>0</v>
      </c>
      <c r="F52" s="1159">
        <f t="shared" si="4"/>
        <v>0</v>
      </c>
    </row>
    <row r="53" spans="1:6">
      <c r="A53" s="1148"/>
      <c r="F53" s="1159"/>
    </row>
    <row r="54" spans="1:6">
      <c r="A54" s="1147" t="s">
        <v>1140</v>
      </c>
      <c r="F54" s="1159"/>
    </row>
    <row r="55" spans="1:6">
      <c r="A55" s="1148" t="s">
        <v>178</v>
      </c>
      <c r="B55" t="s">
        <v>1145</v>
      </c>
      <c r="D55">
        <f>1*40*2*D44</f>
        <v>22997.567999999999</v>
      </c>
      <c r="E55">
        <f>L24+S24</f>
        <v>0</v>
      </c>
      <c r="F55" s="1159">
        <f>D55*E55-F46</f>
        <v>0</v>
      </c>
    </row>
    <row r="56" spans="1:6">
      <c r="A56" s="1148" t="s">
        <v>1130</v>
      </c>
      <c r="B56" t="s">
        <v>1146</v>
      </c>
      <c r="D56">
        <f>2*36*D47</f>
        <v>42631.199999999997</v>
      </c>
      <c r="E56">
        <f>M24</f>
        <v>0</v>
      </c>
      <c r="F56" s="213">
        <f>D56*E56-F48</f>
        <v>0</v>
      </c>
    </row>
    <row r="57" spans="1:6">
      <c r="A57" s="1148" t="s">
        <v>1131</v>
      </c>
      <c r="B57" t="s">
        <v>1147</v>
      </c>
      <c r="D57">
        <f>0</f>
        <v>0</v>
      </c>
      <c r="E57">
        <f>N24</f>
        <v>0</v>
      </c>
      <c r="F57" s="1159">
        <f>D57*E57</f>
        <v>0</v>
      </c>
    </row>
    <row r="58" spans="1:6">
      <c r="A58" s="1148" t="s">
        <v>1132</v>
      </c>
      <c r="B58" t="s">
        <v>1143</v>
      </c>
      <c r="D58">
        <f>0.2*36*D48</f>
        <v>4263.12</v>
      </c>
      <c r="E58">
        <f>O24</f>
        <v>0</v>
      </c>
      <c r="F58" s="1159">
        <f>D58*E58</f>
        <v>0</v>
      </c>
    </row>
    <row r="59" spans="1:6">
      <c r="A59" s="1148" t="s">
        <v>1133</v>
      </c>
      <c r="B59" t="s">
        <v>1144</v>
      </c>
      <c r="D59">
        <v>0</v>
      </c>
      <c r="E59">
        <f>P24</f>
        <v>0</v>
      </c>
      <c r="F59" s="1159">
        <f>D59*E59</f>
        <v>0</v>
      </c>
    </row>
    <row r="60" spans="1:6">
      <c r="A60" s="1148" t="s">
        <v>1161</v>
      </c>
      <c r="B60" t="s">
        <v>1144</v>
      </c>
      <c r="D60">
        <v>0</v>
      </c>
      <c r="E60">
        <f>Q24</f>
        <v>0</v>
      </c>
      <c r="F60" s="1159">
        <f>D60*E60</f>
        <v>0</v>
      </c>
    </row>
    <row r="61" spans="1:6">
      <c r="A61" s="1148" t="s">
        <v>1135</v>
      </c>
      <c r="B61" t="s">
        <v>1144</v>
      </c>
      <c r="D61">
        <v>0</v>
      </c>
      <c r="E61">
        <f>R24</f>
        <v>0</v>
      </c>
      <c r="F61" s="1159">
        <f>D61*E61</f>
        <v>0</v>
      </c>
    </row>
    <row r="62" spans="1:6" ht="16.5" thickBot="1">
      <c r="F62" s="1159"/>
    </row>
    <row r="63" spans="1:6" ht="16.5" thickBot="1">
      <c r="F63" s="1160">
        <f>IF('What If Tool'!C14="yes",SUM('What If Data'!F44:F61),0)</f>
        <v>0</v>
      </c>
    </row>
    <row r="64" spans="1:6">
      <c r="A64" s="1150" t="s">
        <v>1157</v>
      </c>
    </row>
    <row r="65" spans="1:1">
      <c r="A65" s="1150" t="s">
        <v>1158</v>
      </c>
    </row>
  </sheetData>
  <mergeCells count="1">
    <mergeCell ref="B22:K22"/>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67"/>
  <sheetViews>
    <sheetView workbookViewId="0">
      <selection activeCell="J2" sqref="J2:L14"/>
    </sheetView>
  </sheetViews>
  <sheetFormatPr defaultColWidth="11" defaultRowHeight="15.75"/>
  <cols>
    <col min="1" max="1" width="34.875" customWidth="1"/>
    <col min="2" max="2" width="20" customWidth="1"/>
    <col min="3" max="3" width="31.625" customWidth="1"/>
    <col min="4" max="4" width="16.125" customWidth="1"/>
    <col min="7" max="7" width="24.625" customWidth="1"/>
    <col min="10" max="10" width="24.125" customWidth="1"/>
    <col min="12" max="12" width="9.5" customWidth="1"/>
  </cols>
  <sheetData>
    <row r="1" spans="1:12">
      <c r="A1" s="10" t="s">
        <v>317</v>
      </c>
      <c r="B1" s="238"/>
      <c r="C1" s="238"/>
      <c r="E1" s="239"/>
    </row>
    <row r="2" spans="1:12">
      <c r="A2" s="10" t="s">
        <v>318</v>
      </c>
      <c r="B2" s="240">
        <v>41968</v>
      </c>
      <c r="C2" s="238"/>
      <c r="E2" s="239"/>
      <c r="G2" t="s">
        <v>397</v>
      </c>
    </row>
    <row r="3" spans="1:12" ht="16.5" thickBot="1">
      <c r="A3" t="s">
        <v>319</v>
      </c>
      <c r="B3" s="238"/>
      <c r="C3" s="238"/>
      <c r="E3" s="239"/>
    </row>
    <row r="4" spans="1:12">
      <c r="A4" s="241" t="s">
        <v>320</v>
      </c>
      <c r="B4" s="242" t="s">
        <v>68</v>
      </c>
      <c r="C4" s="242" t="s">
        <v>321</v>
      </c>
      <c r="D4" s="242" t="s">
        <v>322</v>
      </c>
      <c r="E4" s="243" t="s">
        <v>323</v>
      </c>
      <c r="G4" s="243" t="s">
        <v>323</v>
      </c>
      <c r="J4" s="263" t="s">
        <v>337</v>
      </c>
      <c r="K4" s="264">
        <v>1.4E-2</v>
      </c>
      <c r="L4" s="16">
        <f>K4/K$11</f>
        <v>0.1891891891891892</v>
      </c>
    </row>
    <row r="5" spans="1:12">
      <c r="A5" s="244" t="s">
        <v>324</v>
      </c>
      <c r="B5" s="245" t="s">
        <v>325</v>
      </c>
      <c r="C5" s="245" t="s">
        <v>326</v>
      </c>
      <c r="D5" s="1987" t="s">
        <v>327</v>
      </c>
      <c r="E5" s="1991">
        <v>1.0999999999999999E-2</v>
      </c>
      <c r="G5" s="1991"/>
      <c r="J5" s="265" t="s">
        <v>145</v>
      </c>
      <c r="K5" s="266">
        <v>2.1999999999999999E-2</v>
      </c>
      <c r="L5" s="16">
        <f t="shared" ref="L5:L10" si="0">K5/K$11</f>
        <v>0.29729729729729731</v>
      </c>
    </row>
    <row r="6" spans="1:12">
      <c r="A6" s="246"/>
      <c r="B6" s="245"/>
      <c r="C6" s="245" t="s">
        <v>146</v>
      </c>
      <c r="D6" s="1988"/>
      <c r="E6" s="1988"/>
      <c r="G6" s="1988"/>
      <c r="J6" s="265" t="s">
        <v>14</v>
      </c>
      <c r="K6" s="266">
        <v>5.0000000000000001E-3</v>
      </c>
      <c r="L6" s="16">
        <f t="shared" si="0"/>
        <v>6.7567567567567571E-2</v>
      </c>
    </row>
    <row r="7" spans="1:12">
      <c r="A7" s="232"/>
      <c r="B7" s="245"/>
      <c r="C7" s="245" t="s">
        <v>328</v>
      </c>
      <c r="D7" s="1988"/>
      <c r="E7" s="1988"/>
      <c r="G7" s="1988"/>
      <c r="J7" s="265" t="s">
        <v>398</v>
      </c>
      <c r="K7" s="266">
        <v>5.0000000000000001E-3</v>
      </c>
      <c r="L7" s="16">
        <f t="shared" si="0"/>
        <v>6.7567567567567571E-2</v>
      </c>
    </row>
    <row r="8" spans="1:12">
      <c r="A8" s="232"/>
      <c r="B8" s="245"/>
      <c r="C8" s="245" t="s">
        <v>329</v>
      </c>
      <c r="D8" s="1988"/>
      <c r="E8" s="1988"/>
      <c r="G8" s="1988"/>
      <c r="J8" s="265" t="s">
        <v>373</v>
      </c>
      <c r="K8" s="266">
        <v>1.0999999999999999E-2</v>
      </c>
      <c r="L8" s="16">
        <f t="shared" si="0"/>
        <v>0.14864864864864866</v>
      </c>
    </row>
    <row r="9" spans="1:12">
      <c r="A9" s="232"/>
      <c r="B9" s="245"/>
      <c r="C9" s="245" t="s">
        <v>330</v>
      </c>
      <c r="D9" s="1989"/>
      <c r="E9" s="1989"/>
      <c r="G9" s="1989"/>
      <c r="J9" s="265" t="s">
        <v>399</v>
      </c>
      <c r="K9" s="266">
        <v>1.0999999999999999E-2</v>
      </c>
      <c r="L9" s="16">
        <f t="shared" si="0"/>
        <v>0.14864864864864866</v>
      </c>
    </row>
    <row r="10" spans="1:12" ht="30">
      <c r="A10" s="232"/>
      <c r="B10" s="245" t="s">
        <v>331</v>
      </c>
      <c r="C10" s="245" t="s">
        <v>332</v>
      </c>
      <c r="D10" s="247" t="s">
        <v>333</v>
      </c>
      <c r="E10" s="248">
        <v>1E-3</v>
      </c>
      <c r="G10" s="248"/>
      <c r="J10" s="265" t="s">
        <v>386</v>
      </c>
      <c r="K10" s="266">
        <v>6.0000000000000001E-3</v>
      </c>
      <c r="L10" s="16">
        <f t="shared" si="0"/>
        <v>8.1081081081081086E-2</v>
      </c>
    </row>
    <row r="11" spans="1:12" ht="16.5" thickBot="1">
      <c r="A11" s="232"/>
      <c r="B11" s="245"/>
      <c r="C11" s="245" t="s">
        <v>334</v>
      </c>
      <c r="D11" s="249" t="s">
        <v>335</v>
      </c>
      <c r="E11" s="248">
        <v>2E-3</v>
      </c>
      <c r="G11" s="248"/>
      <c r="J11" s="267"/>
      <c r="K11" s="268">
        <f>SUM(K4:K10)</f>
        <v>7.3999999999999996E-2</v>
      </c>
      <c r="L11" s="268">
        <f>SUM(L4:L10)</f>
        <v>1</v>
      </c>
    </row>
    <row r="12" spans="1:12">
      <c r="A12" s="232"/>
      <c r="B12" s="245"/>
      <c r="C12" s="245" t="s">
        <v>336</v>
      </c>
      <c r="D12" s="249" t="s">
        <v>335</v>
      </c>
      <c r="E12" s="248">
        <v>1.6E-2</v>
      </c>
      <c r="G12" s="248"/>
    </row>
    <row r="13" spans="1:12">
      <c r="A13" s="250"/>
      <c r="B13" s="251"/>
      <c r="C13" s="251"/>
      <c r="D13" s="191"/>
      <c r="E13" s="252"/>
      <c r="G13" s="252"/>
    </row>
    <row r="14" spans="1:12">
      <c r="A14" s="232" t="s">
        <v>337</v>
      </c>
      <c r="B14" s="245" t="s">
        <v>337</v>
      </c>
      <c r="C14" s="245" t="s">
        <v>338</v>
      </c>
      <c r="D14" s="1987" t="s">
        <v>335</v>
      </c>
      <c r="E14" s="1983">
        <v>1.4E-2</v>
      </c>
      <c r="G14" s="1983">
        <v>1.4E-2</v>
      </c>
    </row>
    <row r="15" spans="1:12">
      <c r="A15" s="232"/>
      <c r="B15" s="245"/>
      <c r="C15" s="245" t="s">
        <v>339</v>
      </c>
      <c r="D15" s="1988"/>
      <c r="E15" s="1992"/>
      <c r="G15" s="1992"/>
    </row>
    <row r="16" spans="1:12">
      <c r="A16" s="232"/>
      <c r="B16" s="245"/>
      <c r="C16" s="245" t="s">
        <v>340</v>
      </c>
      <c r="D16" s="1988"/>
      <c r="E16" s="1992"/>
      <c r="G16" s="1992"/>
    </row>
    <row r="17" spans="1:7">
      <c r="A17" s="232"/>
      <c r="B17" s="245"/>
      <c r="C17" s="245" t="s">
        <v>341</v>
      </c>
      <c r="D17" s="1989"/>
      <c r="E17" s="1986"/>
      <c r="G17" s="1986"/>
    </row>
    <row r="18" spans="1:7">
      <c r="A18" s="232"/>
      <c r="B18" s="245"/>
      <c r="C18" s="245" t="s">
        <v>342</v>
      </c>
      <c r="D18" s="245" t="s">
        <v>343</v>
      </c>
      <c r="E18" s="248">
        <v>1E-3</v>
      </c>
      <c r="G18" s="248"/>
    </row>
    <row r="19" spans="1:7">
      <c r="A19" s="250"/>
      <c r="B19" s="251"/>
      <c r="C19" s="251"/>
      <c r="D19" s="191"/>
      <c r="E19" s="253"/>
      <c r="G19" s="253"/>
    </row>
    <row r="20" spans="1:7">
      <c r="A20" s="232" t="s">
        <v>145</v>
      </c>
      <c r="B20" s="245" t="s">
        <v>56</v>
      </c>
      <c r="C20" s="245" t="s">
        <v>344</v>
      </c>
      <c r="D20" s="1987" t="s">
        <v>327</v>
      </c>
      <c r="E20" s="1983">
        <v>2.1999999999999999E-2</v>
      </c>
      <c r="G20" s="1983">
        <v>2.1999999999999999E-2</v>
      </c>
    </row>
    <row r="21" spans="1:7">
      <c r="A21" s="232"/>
      <c r="B21" s="245"/>
      <c r="C21" s="245" t="s">
        <v>345</v>
      </c>
      <c r="D21" s="1988"/>
      <c r="E21" s="1984"/>
      <c r="G21" s="1984"/>
    </row>
    <row r="22" spans="1:7">
      <c r="A22" s="232"/>
      <c r="B22" s="245"/>
      <c r="C22" s="245" t="s">
        <v>346</v>
      </c>
      <c r="D22" s="1988"/>
      <c r="E22" s="1984"/>
      <c r="G22" s="1984"/>
    </row>
    <row r="23" spans="1:7">
      <c r="A23" s="232"/>
      <c r="B23" s="245"/>
      <c r="C23" s="245" t="s">
        <v>347</v>
      </c>
      <c r="D23" s="1988"/>
      <c r="E23" s="1984"/>
      <c r="G23" s="1984"/>
    </row>
    <row r="24" spans="1:7">
      <c r="A24" s="232"/>
      <c r="B24" s="245"/>
      <c r="C24" s="245" t="s">
        <v>348</v>
      </c>
      <c r="D24" s="1989"/>
      <c r="E24" s="1985"/>
      <c r="G24" s="1985"/>
    </row>
    <row r="25" spans="1:7">
      <c r="A25" s="250"/>
      <c r="B25" s="251"/>
      <c r="C25" s="251"/>
      <c r="D25" s="191"/>
      <c r="E25" s="253"/>
      <c r="G25" s="253"/>
    </row>
    <row r="26" spans="1:7" ht="30">
      <c r="A26" s="232" t="s">
        <v>349</v>
      </c>
      <c r="B26" s="245" t="s">
        <v>349</v>
      </c>
      <c r="C26" s="245" t="s">
        <v>349</v>
      </c>
      <c r="D26" s="247" t="s">
        <v>350</v>
      </c>
      <c r="E26" s="248">
        <v>1.9E-2</v>
      </c>
      <c r="G26" s="248"/>
    </row>
    <row r="27" spans="1:7">
      <c r="A27" s="250"/>
      <c r="B27" s="251"/>
      <c r="C27" s="251"/>
      <c r="D27" s="191"/>
      <c r="E27" s="253"/>
      <c r="G27" s="253"/>
    </row>
    <row r="28" spans="1:7">
      <c r="A28" s="232" t="s">
        <v>351</v>
      </c>
      <c r="B28" s="245" t="s">
        <v>14</v>
      </c>
      <c r="C28" s="245" t="s">
        <v>14</v>
      </c>
      <c r="D28" s="245" t="s">
        <v>352</v>
      </c>
      <c r="E28" s="248">
        <v>5.0000000000000001E-3</v>
      </c>
      <c r="G28" s="248">
        <v>5.0000000000000001E-3</v>
      </c>
    </row>
    <row r="29" spans="1:7">
      <c r="A29" s="250"/>
      <c r="B29" s="251"/>
      <c r="C29" s="251"/>
      <c r="D29" s="191"/>
      <c r="E29" s="252"/>
      <c r="G29" s="252"/>
    </row>
    <row r="30" spans="1:7">
      <c r="A30" s="232" t="s">
        <v>353</v>
      </c>
      <c r="B30" s="245"/>
      <c r="C30" s="245" t="s">
        <v>354</v>
      </c>
      <c r="D30" s="1987" t="s">
        <v>335</v>
      </c>
      <c r="E30" s="1991">
        <v>1.0999999999999999E-2</v>
      </c>
      <c r="G30" s="1991"/>
    </row>
    <row r="31" spans="1:7">
      <c r="A31" s="232"/>
      <c r="B31" s="245"/>
      <c r="C31" s="245" t="s">
        <v>355</v>
      </c>
      <c r="D31" s="1988"/>
      <c r="E31" s="1993"/>
      <c r="G31" s="1993"/>
    </row>
    <row r="32" spans="1:7">
      <c r="A32" s="232"/>
      <c r="B32" s="245"/>
      <c r="C32" s="245" t="s">
        <v>356</v>
      </c>
      <c r="D32" s="1988"/>
      <c r="E32" s="1993"/>
      <c r="G32" s="1993"/>
    </row>
    <row r="33" spans="1:7">
      <c r="A33" s="232"/>
      <c r="B33" s="245"/>
      <c r="C33" s="245" t="s">
        <v>357</v>
      </c>
      <c r="D33" s="1989"/>
      <c r="E33" s="1994"/>
      <c r="G33" s="1994"/>
    </row>
    <row r="34" spans="1:7">
      <c r="A34" s="250"/>
      <c r="B34" s="251"/>
      <c r="C34" s="251"/>
      <c r="D34" s="191"/>
      <c r="E34" s="252"/>
      <c r="G34" s="252"/>
    </row>
    <row r="35" spans="1:7" ht="30">
      <c r="A35" s="232" t="s">
        <v>358</v>
      </c>
      <c r="B35" s="245" t="s">
        <v>359</v>
      </c>
      <c r="C35" s="245" t="s">
        <v>360</v>
      </c>
      <c r="D35" s="247" t="s">
        <v>361</v>
      </c>
      <c r="E35" s="248">
        <v>5.0000000000000001E-3</v>
      </c>
      <c r="G35" s="248">
        <v>5.0000000000000001E-3</v>
      </c>
    </row>
    <row r="36" spans="1:7">
      <c r="A36" s="250"/>
      <c r="B36" s="251"/>
      <c r="C36" s="251"/>
      <c r="D36" s="254"/>
      <c r="E36" s="252"/>
      <c r="G36" s="252"/>
    </row>
    <row r="37" spans="1:7">
      <c r="A37" s="232" t="s">
        <v>362</v>
      </c>
      <c r="B37" s="245" t="s">
        <v>58</v>
      </c>
      <c r="C37" s="245" t="s">
        <v>363</v>
      </c>
      <c r="D37" s="1987" t="s">
        <v>335</v>
      </c>
      <c r="E37" s="1991">
        <v>3.5999999999999997E-2</v>
      </c>
      <c r="G37" s="1991"/>
    </row>
    <row r="38" spans="1:7">
      <c r="A38" s="232"/>
      <c r="B38" s="245"/>
      <c r="C38" s="245" t="s">
        <v>364</v>
      </c>
      <c r="D38" s="1988"/>
      <c r="E38" s="1988"/>
      <c r="G38" s="1988"/>
    </row>
    <row r="39" spans="1:7">
      <c r="A39" s="232"/>
      <c r="B39" s="245"/>
      <c r="C39" s="245" t="s">
        <v>365</v>
      </c>
      <c r="D39" s="1989"/>
      <c r="E39" s="1989"/>
      <c r="G39" s="1989"/>
    </row>
    <row r="40" spans="1:7">
      <c r="A40" s="250"/>
      <c r="B40" s="251"/>
      <c r="C40" s="251"/>
      <c r="D40" s="191"/>
      <c r="E40" s="253"/>
      <c r="G40" s="253"/>
    </row>
    <row r="41" spans="1:7">
      <c r="A41" s="232" t="s">
        <v>366</v>
      </c>
      <c r="B41" s="245" t="s">
        <v>367</v>
      </c>
      <c r="C41" s="245" t="s">
        <v>368</v>
      </c>
      <c r="D41" s="1987" t="s">
        <v>335</v>
      </c>
      <c r="E41" s="1991">
        <v>6.0000000000000001E-3</v>
      </c>
      <c r="G41" s="1991"/>
    </row>
    <row r="42" spans="1:7">
      <c r="A42" s="232"/>
      <c r="B42" s="245"/>
      <c r="C42" s="245" t="s">
        <v>369</v>
      </c>
      <c r="D42" s="1988"/>
      <c r="E42" s="1993"/>
      <c r="G42" s="1993"/>
    </row>
    <row r="43" spans="1:7">
      <c r="A43" s="232"/>
      <c r="B43" s="245"/>
      <c r="C43" s="245" t="s">
        <v>370</v>
      </c>
      <c r="D43" s="1989"/>
      <c r="E43" s="1994"/>
      <c r="G43" s="1994"/>
    </row>
    <row r="44" spans="1:7">
      <c r="A44" s="250"/>
      <c r="B44" s="251"/>
      <c r="C44" s="251"/>
      <c r="D44" s="254"/>
      <c r="E44" s="252"/>
      <c r="G44" s="252"/>
    </row>
    <row r="45" spans="1:7">
      <c r="A45" s="255" t="s">
        <v>371</v>
      </c>
      <c r="B45" s="245" t="s">
        <v>372</v>
      </c>
      <c r="C45" s="245" t="s">
        <v>373</v>
      </c>
      <c r="D45" s="245" t="s">
        <v>327</v>
      </c>
      <c r="E45" s="248">
        <v>1.0999999999999999E-2</v>
      </c>
      <c r="G45" s="248">
        <v>1.0999999999999999E-2</v>
      </c>
    </row>
    <row r="46" spans="1:7">
      <c r="A46" s="232"/>
      <c r="B46" s="245" t="s">
        <v>374</v>
      </c>
      <c r="C46" s="245" t="s">
        <v>375</v>
      </c>
      <c r="D46" s="1987" t="s">
        <v>327</v>
      </c>
      <c r="E46" s="1983">
        <v>1.0999999999999999E-2</v>
      </c>
      <c r="G46" s="1983">
        <v>1.0999999999999999E-2</v>
      </c>
    </row>
    <row r="47" spans="1:7">
      <c r="A47" s="232"/>
      <c r="B47" s="245"/>
      <c r="C47" s="245" t="s">
        <v>376</v>
      </c>
      <c r="D47" s="1988"/>
      <c r="E47" s="1984"/>
      <c r="G47" s="1984"/>
    </row>
    <row r="48" spans="1:7">
      <c r="A48" s="232"/>
      <c r="B48" s="245"/>
      <c r="C48" s="245" t="s">
        <v>377</v>
      </c>
      <c r="D48" s="1988"/>
      <c r="E48" s="1984"/>
      <c r="G48" s="1984"/>
    </row>
    <row r="49" spans="1:7">
      <c r="A49" s="232"/>
      <c r="B49" s="245"/>
      <c r="C49" s="245" t="s">
        <v>378</v>
      </c>
      <c r="D49" s="1988"/>
      <c r="E49" s="1984"/>
      <c r="G49" s="1984"/>
    </row>
    <row r="50" spans="1:7">
      <c r="A50" s="232"/>
      <c r="B50" s="245"/>
      <c r="C50" s="245" t="s">
        <v>379</v>
      </c>
      <c r="D50" s="1988"/>
      <c r="E50" s="1984"/>
      <c r="G50" s="1984"/>
    </row>
    <row r="51" spans="1:7">
      <c r="A51" s="232"/>
      <c r="B51" s="245"/>
      <c r="C51" s="245" t="s">
        <v>380</v>
      </c>
      <c r="D51" s="1988"/>
      <c r="E51" s="1984"/>
      <c r="G51" s="1984"/>
    </row>
    <row r="52" spans="1:7">
      <c r="A52" s="232"/>
      <c r="B52" s="245" t="s">
        <v>59</v>
      </c>
      <c r="C52" s="245" t="s">
        <v>381</v>
      </c>
      <c r="D52" s="1988"/>
      <c r="E52" s="1984"/>
      <c r="G52" s="1984"/>
    </row>
    <row r="53" spans="1:7">
      <c r="A53" s="232"/>
      <c r="B53" s="245"/>
      <c r="C53" s="245" t="s">
        <v>382</v>
      </c>
      <c r="D53" s="1988"/>
      <c r="E53" s="1984"/>
      <c r="G53" s="1984"/>
    </row>
    <row r="54" spans="1:7">
      <c r="A54" s="232"/>
      <c r="B54" s="245"/>
      <c r="C54" s="245" t="s">
        <v>383</v>
      </c>
      <c r="D54" s="1988"/>
      <c r="E54" s="1984"/>
      <c r="G54" s="1984"/>
    </row>
    <row r="55" spans="1:7">
      <c r="A55" s="232"/>
      <c r="B55" s="245"/>
      <c r="C55" s="245" t="s">
        <v>384</v>
      </c>
      <c r="D55" s="1989"/>
      <c r="E55" s="1985"/>
      <c r="G55" s="1985"/>
    </row>
    <row r="56" spans="1:7">
      <c r="A56" s="250"/>
      <c r="B56" s="251"/>
      <c r="C56" s="251"/>
      <c r="D56" s="256"/>
      <c r="E56" s="257"/>
      <c r="G56" s="257"/>
    </row>
    <row r="57" spans="1:7">
      <c r="A57" s="232" t="s">
        <v>385</v>
      </c>
      <c r="B57" s="245" t="s">
        <v>386</v>
      </c>
      <c r="C57" s="245"/>
      <c r="D57" s="245" t="s">
        <v>327</v>
      </c>
      <c r="E57" s="248">
        <v>6.0000000000000001E-3</v>
      </c>
      <c r="G57" s="248">
        <v>6.0000000000000001E-3</v>
      </c>
    </row>
    <row r="58" spans="1:7">
      <c r="A58" s="1"/>
      <c r="B58" s="249" t="s">
        <v>60</v>
      </c>
      <c r="C58" s="249" t="s">
        <v>60</v>
      </c>
      <c r="D58" s="1990" t="s">
        <v>387</v>
      </c>
      <c r="E58" s="1983">
        <v>3.5999999999999997E-2</v>
      </c>
      <c r="G58" s="1983"/>
    </row>
    <row r="59" spans="1:7">
      <c r="A59" s="232"/>
      <c r="B59" s="249" t="s">
        <v>388</v>
      </c>
      <c r="C59" s="249" t="s">
        <v>389</v>
      </c>
      <c r="D59" s="1986"/>
      <c r="E59" s="1986"/>
      <c r="G59" s="1986"/>
    </row>
    <row r="60" spans="1:7">
      <c r="A60" s="250"/>
      <c r="B60" s="251"/>
      <c r="C60" s="251"/>
      <c r="D60" s="191"/>
      <c r="E60" s="253"/>
      <c r="G60" s="253"/>
    </row>
    <row r="61" spans="1:7">
      <c r="A61" s="232"/>
      <c r="B61" s="249" t="s">
        <v>390</v>
      </c>
      <c r="C61" s="249" t="s">
        <v>391</v>
      </c>
      <c r="D61" s="249" t="s">
        <v>335</v>
      </c>
      <c r="E61" s="258">
        <v>0.114</v>
      </c>
      <c r="G61" s="258"/>
    </row>
    <row r="62" spans="1:7">
      <c r="A62" s="1"/>
      <c r="B62" s="259"/>
      <c r="C62" s="259"/>
      <c r="D62" s="1"/>
      <c r="E62" s="260"/>
      <c r="G62" s="260"/>
    </row>
    <row r="63" spans="1:7">
      <c r="A63" s="1"/>
      <c r="B63" s="259"/>
      <c r="C63" s="245" t="s">
        <v>392</v>
      </c>
      <c r="D63" s="245" t="s">
        <v>393</v>
      </c>
      <c r="E63" s="248">
        <v>2.5000000000000001E-2</v>
      </c>
      <c r="G63" s="248"/>
    </row>
    <row r="64" spans="1:7">
      <c r="A64" s="1"/>
      <c r="B64" s="259"/>
      <c r="C64" s="245" t="s">
        <v>394</v>
      </c>
      <c r="D64" s="245" t="s">
        <v>393</v>
      </c>
      <c r="E64" s="248">
        <v>2.7E-2</v>
      </c>
      <c r="G64" s="248"/>
    </row>
    <row r="65" spans="1:7">
      <c r="A65" s="1"/>
      <c r="B65" s="259"/>
      <c r="C65" s="261" t="s">
        <v>395</v>
      </c>
      <c r="D65" s="261" t="s">
        <v>352</v>
      </c>
      <c r="E65" s="248">
        <v>2.5999999999999999E-2</v>
      </c>
      <c r="G65" s="248"/>
    </row>
    <row r="66" spans="1:7">
      <c r="A66" s="1"/>
      <c r="B66" s="259"/>
      <c r="C66" s="259"/>
      <c r="D66" s="1"/>
      <c r="E66" s="260"/>
      <c r="G66" s="260"/>
    </row>
    <row r="67" spans="1:7">
      <c r="A67" s="1"/>
      <c r="B67" s="259"/>
      <c r="C67" s="11" t="s">
        <v>396</v>
      </c>
      <c r="D67" s="1"/>
      <c r="E67" s="260"/>
      <c r="G67" s="262">
        <f>SUM(G5:G65)</f>
        <v>7.3999999999999996E-2</v>
      </c>
    </row>
  </sheetData>
  <mergeCells count="24">
    <mergeCell ref="D5:D9"/>
    <mergeCell ref="E5:E9"/>
    <mergeCell ref="D14:D17"/>
    <mergeCell ref="E14:E17"/>
    <mergeCell ref="D20:D24"/>
    <mergeCell ref="E20:E24"/>
    <mergeCell ref="G41:G43"/>
    <mergeCell ref="D30:D33"/>
    <mergeCell ref="E30:E33"/>
    <mergeCell ref="D37:D39"/>
    <mergeCell ref="E37:E39"/>
    <mergeCell ref="D41:D43"/>
    <mergeCell ref="E41:E43"/>
    <mergeCell ref="G5:G9"/>
    <mergeCell ref="G14:G17"/>
    <mergeCell ref="G20:G24"/>
    <mergeCell ref="G30:G33"/>
    <mergeCell ref="G37:G39"/>
    <mergeCell ref="G46:G55"/>
    <mergeCell ref="G58:G59"/>
    <mergeCell ref="D46:D55"/>
    <mergeCell ref="E46:E55"/>
    <mergeCell ref="D58:D59"/>
    <mergeCell ref="E58:E59"/>
  </mergeCells>
  <phoneticPr fontId="52" type="noConversion"/>
  <pageMargins left="0.75" right="0.75" top="1" bottom="1" header="0.5" footer="0.5"/>
  <pageSetup orientation="portrait" horizontalDpi="4294967292" verticalDpi="4294967292"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G60"/>
  <sheetViews>
    <sheetView workbookViewId="0">
      <selection activeCell="H61" sqref="H61"/>
    </sheetView>
  </sheetViews>
  <sheetFormatPr defaultColWidth="8.875" defaultRowHeight="15.75"/>
  <cols>
    <col min="1" max="1" width="31.875" customWidth="1"/>
    <col min="2" max="2" width="28.625" customWidth="1"/>
    <col min="3" max="3" width="5.375" customWidth="1"/>
    <col min="4" max="4" width="39.875" customWidth="1"/>
    <col min="5" max="5" width="14.625" customWidth="1"/>
    <col min="6" max="6" width="14" customWidth="1"/>
    <col min="7" max="7" width="35.5" customWidth="1"/>
  </cols>
  <sheetData>
    <row r="1" spans="1:7">
      <c r="A1" s="1995" t="s">
        <v>18</v>
      </c>
      <c r="B1" s="1995"/>
      <c r="C1" s="1995"/>
      <c r="D1" s="1995"/>
    </row>
    <row r="2" spans="1:7">
      <c r="A2" s="1995" t="s">
        <v>900</v>
      </c>
      <c r="B2" s="1995"/>
      <c r="C2" s="1995"/>
      <c r="D2" s="1995"/>
    </row>
    <row r="3" spans="1:7">
      <c r="A3" s="1995" t="s">
        <v>1482</v>
      </c>
      <c r="B3" s="1995"/>
      <c r="C3" s="1995"/>
      <c r="D3" s="1995"/>
    </row>
    <row r="4" spans="1:7">
      <c r="A4" s="33"/>
      <c r="B4" s="42"/>
    </row>
    <row r="5" spans="1:7">
      <c r="B5" s="1040" t="s">
        <v>1483</v>
      </c>
      <c r="C5" s="1092"/>
      <c r="D5" s="1092" t="s">
        <v>901</v>
      </c>
      <c r="E5" t="s">
        <v>1484</v>
      </c>
      <c r="F5" s="1534" t="s">
        <v>1213</v>
      </c>
      <c r="G5" s="1534" t="s">
        <v>901</v>
      </c>
    </row>
    <row r="6" spans="1:7">
      <c r="A6" s="43"/>
      <c r="B6" s="379"/>
      <c r="C6" s="1041"/>
      <c r="D6" s="33"/>
    </row>
    <row r="7" spans="1:7">
      <c r="A7" s="49" t="s">
        <v>72</v>
      </c>
      <c r="B7" s="379">
        <v>843760</v>
      </c>
      <c r="C7" s="1041"/>
      <c r="D7" s="33" t="s">
        <v>902</v>
      </c>
      <c r="E7" s="12">
        <f>-B7</f>
        <v>-843760</v>
      </c>
      <c r="F7" s="402">
        <v>0</v>
      </c>
      <c r="G7" t="s">
        <v>1553</v>
      </c>
    </row>
    <row r="8" spans="1:7">
      <c r="A8" s="49"/>
      <c r="B8" s="379">
        <v>1598265</v>
      </c>
      <c r="C8" s="1041"/>
      <c r="D8" s="33" t="s">
        <v>903</v>
      </c>
      <c r="E8" s="12">
        <f>-B8</f>
        <v>-1598265</v>
      </c>
      <c r="F8" s="402">
        <v>0</v>
      </c>
      <c r="G8" t="s">
        <v>1553</v>
      </c>
    </row>
    <row r="9" spans="1:7">
      <c r="A9" s="43"/>
      <c r="B9" s="379"/>
      <c r="C9" s="1041"/>
      <c r="D9" s="33"/>
    </row>
    <row r="10" spans="1:7">
      <c r="A10" s="49" t="s">
        <v>75</v>
      </c>
      <c r="B10" s="379">
        <v>95520</v>
      </c>
      <c r="C10" s="1041"/>
      <c r="D10" s="33" t="s">
        <v>904</v>
      </c>
      <c r="E10" s="12">
        <f>-B10</f>
        <v>-95520</v>
      </c>
      <c r="F10" s="402">
        <v>0</v>
      </c>
      <c r="G10" t="s">
        <v>1553</v>
      </c>
    </row>
    <row r="11" spans="1:7">
      <c r="A11" s="49"/>
      <c r="B11" s="379">
        <v>619180</v>
      </c>
      <c r="C11" s="1041"/>
      <c r="D11" s="33" t="s">
        <v>905</v>
      </c>
      <c r="E11" s="12">
        <f>-B11</f>
        <v>-619180</v>
      </c>
      <c r="F11" s="402">
        <v>0</v>
      </c>
      <c r="G11" t="s">
        <v>1553</v>
      </c>
    </row>
    <row r="12" spans="1:7">
      <c r="A12" s="43"/>
      <c r="B12" s="379"/>
      <c r="C12" s="1041"/>
      <c r="D12" s="33"/>
    </row>
    <row r="13" spans="1:7">
      <c r="A13" s="49"/>
      <c r="B13" s="379"/>
      <c r="C13" s="1041"/>
    </row>
    <row r="14" spans="1:7">
      <c r="A14" s="49" t="s">
        <v>78</v>
      </c>
      <c r="B14" s="379">
        <v>75000</v>
      </c>
      <c r="C14" s="1041"/>
      <c r="D14" s="33" t="s">
        <v>906</v>
      </c>
      <c r="E14" s="1614">
        <v>225000</v>
      </c>
      <c r="F14" s="1614">
        <v>300000</v>
      </c>
      <c r="G14" t="s">
        <v>1557</v>
      </c>
    </row>
    <row r="15" spans="1:7">
      <c r="A15" s="49"/>
      <c r="B15" s="379"/>
      <c r="C15" s="1041"/>
      <c r="D15" s="33"/>
    </row>
    <row r="16" spans="1:7">
      <c r="A16" s="49" t="s">
        <v>907</v>
      </c>
      <c r="B16" s="379">
        <v>10875</v>
      </c>
      <c r="C16" s="1041"/>
      <c r="D16" s="33" t="s">
        <v>908</v>
      </c>
      <c r="F16" s="1614">
        <v>10875</v>
      </c>
    </row>
    <row r="17" spans="1:7">
      <c r="A17" s="49"/>
      <c r="B17" s="379"/>
      <c r="C17" s="1041"/>
    </row>
    <row r="18" spans="1:7">
      <c r="A18" s="43" t="s">
        <v>82</v>
      </c>
      <c r="B18" s="379">
        <v>-48085</v>
      </c>
      <c r="C18" s="1041"/>
      <c r="D18" s="33" t="s">
        <v>909</v>
      </c>
      <c r="E18" s="188"/>
      <c r="F18" s="188">
        <f>-48085</f>
        <v>-48085</v>
      </c>
    </row>
    <row r="19" spans="1:7">
      <c r="A19" s="43"/>
      <c r="E19" s="188">
        <v>168913</v>
      </c>
      <c r="F19" s="188">
        <v>168913</v>
      </c>
      <c r="G19" t="s">
        <v>1558</v>
      </c>
    </row>
    <row r="20" spans="1:7">
      <c r="A20" s="45" t="s">
        <v>910</v>
      </c>
      <c r="B20" s="379">
        <v>20000</v>
      </c>
      <c r="C20" s="1041"/>
      <c r="D20" s="33" t="s">
        <v>479</v>
      </c>
      <c r="F20">
        <v>20000</v>
      </c>
    </row>
    <row r="21" spans="1:7">
      <c r="A21" s="42"/>
      <c r="B21" s="379"/>
      <c r="C21" s="1041"/>
      <c r="E21" s="1614">
        <v>300000</v>
      </c>
      <c r="F21">
        <v>300000</v>
      </c>
      <c r="G21" t="s">
        <v>1559</v>
      </c>
    </row>
    <row r="22" spans="1:7">
      <c r="A22" s="42" t="s">
        <v>1560</v>
      </c>
      <c r="B22" s="379"/>
      <c r="C22" s="1041"/>
      <c r="E22" s="1614">
        <v>250000</v>
      </c>
      <c r="F22">
        <v>250000</v>
      </c>
      <c r="G22" t="s">
        <v>1561</v>
      </c>
    </row>
    <row r="23" spans="1:7">
      <c r="A23" s="42"/>
      <c r="B23" s="379"/>
      <c r="C23" s="1041"/>
      <c r="E23" s="1614"/>
    </row>
    <row r="24" spans="1:7">
      <c r="A24" s="42"/>
      <c r="B24" s="379"/>
      <c r="C24" s="1041"/>
      <c r="E24" s="1614"/>
    </row>
    <row r="25" spans="1:7">
      <c r="A25" s="42" t="s">
        <v>4</v>
      </c>
      <c r="B25" s="379"/>
      <c r="C25" s="1041"/>
      <c r="E25" s="1614">
        <v>500000</v>
      </c>
      <c r="F25" s="1614">
        <f>E25</f>
        <v>500000</v>
      </c>
      <c r="G25" t="s">
        <v>1562</v>
      </c>
    </row>
    <row r="26" spans="1:7">
      <c r="A26" s="42"/>
      <c r="B26" s="379"/>
      <c r="C26" s="1041"/>
      <c r="E26" s="1614">
        <v>250000</v>
      </c>
      <c r="F26" s="1614">
        <f>E26</f>
        <v>250000</v>
      </c>
      <c r="G26" t="s">
        <v>1563</v>
      </c>
    </row>
    <row r="27" spans="1:7">
      <c r="A27" s="42"/>
      <c r="B27" s="379"/>
      <c r="C27" s="1041"/>
      <c r="E27" s="1614">
        <v>19226</v>
      </c>
      <c r="F27" s="1614">
        <f>E27</f>
        <v>19226</v>
      </c>
      <c r="G27" t="s">
        <v>1564</v>
      </c>
    </row>
    <row r="28" spans="1:7">
      <c r="A28" s="42"/>
      <c r="B28" s="379"/>
      <c r="C28" s="1041"/>
      <c r="E28" s="1614"/>
    </row>
    <row r="29" spans="1:7">
      <c r="A29" s="42"/>
      <c r="B29" s="379"/>
      <c r="C29" s="1041"/>
      <c r="E29" s="1614"/>
    </row>
    <row r="30" spans="1:7">
      <c r="A30" s="42"/>
      <c r="B30" s="379"/>
      <c r="C30" s="1041"/>
      <c r="E30" s="1614"/>
    </row>
    <row r="31" spans="1:7">
      <c r="A31" s="42" t="s">
        <v>93</v>
      </c>
      <c r="B31" s="379">
        <v>26585</v>
      </c>
      <c r="C31" s="1041"/>
      <c r="D31" t="s">
        <v>911</v>
      </c>
    </row>
    <row r="32" spans="1:7">
      <c r="A32" s="42"/>
      <c r="B32" s="379"/>
      <c r="C32" s="1041"/>
    </row>
    <row r="33" spans="1:7">
      <c r="A33" s="33" t="s">
        <v>912</v>
      </c>
      <c r="B33" s="379">
        <v>300000</v>
      </c>
      <c r="C33" s="1041"/>
      <c r="D33" s="33" t="s">
        <v>480</v>
      </c>
    </row>
    <row r="34" spans="1:7">
      <c r="B34" s="379">
        <v>55000</v>
      </c>
      <c r="C34" s="1041"/>
      <c r="D34" s="33" t="s">
        <v>482</v>
      </c>
    </row>
    <row r="35" spans="1:7">
      <c r="B35" s="379">
        <v>20000</v>
      </c>
      <c r="C35" s="1041"/>
      <c r="D35" s="33" t="s">
        <v>483</v>
      </c>
    </row>
    <row r="36" spans="1:7">
      <c r="B36" s="379">
        <v>5500000</v>
      </c>
      <c r="C36" s="1041"/>
      <c r="D36" s="33" t="s">
        <v>336</v>
      </c>
    </row>
    <row r="37" spans="1:7">
      <c r="B37" s="379">
        <v>25000</v>
      </c>
      <c r="C37" s="1041"/>
      <c r="D37" s="33" t="s">
        <v>913</v>
      </c>
    </row>
    <row r="38" spans="1:7">
      <c r="B38" s="379"/>
      <c r="C38" s="1041"/>
      <c r="D38" s="33"/>
    </row>
    <row r="39" spans="1:7">
      <c r="A39" t="s">
        <v>336</v>
      </c>
      <c r="B39" s="379"/>
      <c r="C39" s="1041"/>
      <c r="D39" s="33"/>
      <c r="E39">
        <v>5500000</v>
      </c>
      <c r="F39">
        <v>7340700</v>
      </c>
      <c r="G39" t="s">
        <v>1554</v>
      </c>
    </row>
    <row r="40" spans="1:7">
      <c r="B40" s="379"/>
      <c r="C40" s="1041"/>
      <c r="D40" s="33"/>
      <c r="E40">
        <v>1840700</v>
      </c>
      <c r="G40" t="s">
        <v>1555</v>
      </c>
    </row>
    <row r="41" spans="1:7">
      <c r="B41" s="379"/>
      <c r="C41" s="1041"/>
      <c r="D41" s="33"/>
    </row>
    <row r="42" spans="1:7">
      <c r="A42" s="33" t="s">
        <v>914</v>
      </c>
      <c r="B42" s="379">
        <v>150000</v>
      </c>
      <c r="C42" s="1041"/>
      <c r="D42" s="33" t="s">
        <v>915</v>
      </c>
      <c r="E42" s="12">
        <f>-B42</f>
        <v>-150000</v>
      </c>
      <c r="F42" s="402">
        <v>0</v>
      </c>
      <c r="G42" t="s">
        <v>1553</v>
      </c>
    </row>
    <row r="43" spans="1:7">
      <c r="B43" s="379"/>
      <c r="C43" s="1041"/>
      <c r="D43" s="33"/>
    </row>
    <row r="44" spans="1:7">
      <c r="A44" s="33" t="s">
        <v>916</v>
      </c>
      <c r="B44" s="379">
        <v>80000</v>
      </c>
      <c r="C44" s="1041"/>
      <c r="D44" s="33" t="s">
        <v>480</v>
      </c>
      <c r="E44" s="12">
        <f>-B44</f>
        <v>-80000</v>
      </c>
      <c r="F44" s="402"/>
      <c r="G44" t="s">
        <v>1556</v>
      </c>
    </row>
    <row r="45" spans="1:7">
      <c r="B45" s="379">
        <v>950000</v>
      </c>
      <c r="C45" s="1041"/>
      <c r="D45" s="33" t="s">
        <v>917</v>
      </c>
      <c r="F45" s="402">
        <f>950000</f>
        <v>950000</v>
      </c>
    </row>
    <row r="46" spans="1:7">
      <c r="B46" s="42"/>
    </row>
    <row r="47" spans="1:7">
      <c r="A47" t="s">
        <v>918</v>
      </c>
      <c r="B47" s="379">
        <v>100000</v>
      </c>
      <c r="D47" t="s">
        <v>919</v>
      </c>
      <c r="E47" s="12">
        <f>-B47</f>
        <v>-100000</v>
      </c>
      <c r="F47" s="402">
        <v>0</v>
      </c>
      <c r="G47" t="s">
        <v>1553</v>
      </c>
    </row>
    <row r="48" spans="1:7">
      <c r="B48" s="379">
        <v>327000</v>
      </c>
      <c r="D48" t="s">
        <v>481</v>
      </c>
      <c r="E48" s="12">
        <f>-B48</f>
        <v>-327000</v>
      </c>
      <c r="F48" s="402">
        <v>0</v>
      </c>
      <c r="G48" t="s">
        <v>1553</v>
      </c>
    </row>
    <row r="49" spans="1:7">
      <c r="B49" s="379"/>
    </row>
    <row r="50" spans="1:7">
      <c r="A50" s="33" t="s">
        <v>85</v>
      </c>
      <c r="B50" s="379">
        <v>722370</v>
      </c>
      <c r="D50" s="380" t="s">
        <v>920</v>
      </c>
      <c r="E50" s="12">
        <f>-B50</f>
        <v>-722370</v>
      </c>
      <c r="F50" s="402">
        <v>0</v>
      </c>
      <c r="G50" t="s">
        <v>1553</v>
      </c>
    </row>
    <row r="51" spans="1:7">
      <c r="A51" s="33"/>
      <c r="B51" s="379">
        <v>72357</v>
      </c>
      <c r="D51" s="380" t="s">
        <v>921</v>
      </c>
      <c r="E51" s="12">
        <f>-B51</f>
        <v>-72357</v>
      </c>
      <c r="F51" s="402">
        <v>0</v>
      </c>
      <c r="G51" t="s">
        <v>1553</v>
      </c>
    </row>
    <row r="52" spans="1:7">
      <c r="B52" s="42"/>
    </row>
    <row r="53" spans="1:7">
      <c r="A53" s="45" t="s">
        <v>922</v>
      </c>
      <c r="B53" s="379">
        <v>40000</v>
      </c>
      <c r="C53" s="1041"/>
      <c r="D53" s="33" t="s">
        <v>923</v>
      </c>
    </row>
    <row r="54" spans="1:7">
      <c r="A54" s="45"/>
      <c r="B54" s="379"/>
      <c r="C54" s="1041"/>
      <c r="D54" s="33"/>
    </row>
    <row r="55" spans="1:7">
      <c r="A55" s="45" t="s">
        <v>924</v>
      </c>
      <c r="B55" s="379">
        <v>172820</v>
      </c>
      <c r="C55" s="1041"/>
      <c r="D55" s="33" t="s">
        <v>925</v>
      </c>
      <c r="E55" s="12">
        <f>-B55</f>
        <v>-172820</v>
      </c>
      <c r="F55" s="402">
        <v>0</v>
      </c>
    </row>
    <row r="56" spans="1:7">
      <c r="A56" s="45"/>
      <c r="B56" s="379">
        <v>116900</v>
      </c>
      <c r="C56" s="1041"/>
      <c r="D56" s="33" t="s">
        <v>926</v>
      </c>
      <c r="E56" s="12">
        <f>-B56</f>
        <v>-116900</v>
      </c>
      <c r="F56" s="402">
        <v>0</v>
      </c>
    </row>
    <row r="57" spans="1:7">
      <c r="A57" s="45"/>
      <c r="B57" s="379"/>
      <c r="C57" s="1041"/>
      <c r="D57" s="33"/>
    </row>
    <row r="58" spans="1:7">
      <c r="A58" s="42"/>
      <c r="B58" s="379"/>
      <c r="C58" s="1041"/>
    </row>
    <row r="59" spans="1:7" ht="16.5" thickBot="1">
      <c r="A59" s="33" t="s">
        <v>927</v>
      </c>
      <c r="B59" s="1042">
        <f>SUM(B6:B58)</f>
        <v>11872547</v>
      </c>
      <c r="C59" s="1043"/>
    </row>
    <row r="60" spans="1:7" ht="16.5" thickTop="1"/>
  </sheetData>
  <mergeCells count="3">
    <mergeCell ref="A1:D1"/>
    <mergeCell ref="A2:D2"/>
    <mergeCell ref="A3: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50"/>
  <sheetViews>
    <sheetView workbookViewId="0">
      <selection activeCell="M42" sqref="M42"/>
    </sheetView>
  </sheetViews>
  <sheetFormatPr defaultColWidth="11" defaultRowHeight="15.75"/>
  <cols>
    <col min="1" max="1" width="38.5" customWidth="1"/>
    <col min="2" max="2" width="5.625" customWidth="1"/>
    <col min="3" max="3" width="16.125" customWidth="1"/>
  </cols>
  <sheetData>
    <row r="1" spans="1:9">
      <c r="A1" s="1096"/>
      <c r="B1" s="1096"/>
      <c r="C1" s="1097" t="s">
        <v>64</v>
      </c>
      <c r="D1" s="1096"/>
      <c r="E1" s="1096"/>
      <c r="F1" s="1096"/>
      <c r="G1" s="1096"/>
      <c r="H1" s="1096"/>
      <c r="I1" s="1096"/>
    </row>
    <row r="2" spans="1:9">
      <c r="A2" s="1096"/>
      <c r="B2" s="1096"/>
      <c r="C2" s="1098" t="s">
        <v>69</v>
      </c>
      <c r="D2" s="1096"/>
      <c r="E2" s="1096"/>
      <c r="F2" s="1096"/>
      <c r="G2" s="1096"/>
      <c r="H2" s="1096"/>
      <c r="I2" s="1096"/>
    </row>
    <row r="3" spans="1:9">
      <c r="A3" s="1096"/>
      <c r="B3" s="1096"/>
      <c r="C3" s="1096"/>
      <c r="D3" s="1096"/>
      <c r="E3" s="1096"/>
      <c r="F3" s="1096"/>
      <c r="G3" s="1096"/>
      <c r="H3" s="1096"/>
      <c r="I3" s="1096"/>
    </row>
    <row r="4" spans="1:9">
      <c r="A4" s="1099" t="s">
        <v>68</v>
      </c>
      <c r="B4" s="1096"/>
      <c r="C4" s="1100"/>
      <c r="D4" s="1096"/>
      <c r="E4" s="1096"/>
      <c r="F4" s="1096"/>
      <c r="G4" s="1096"/>
      <c r="H4" s="1096"/>
      <c r="I4" s="1096"/>
    </row>
    <row r="5" spans="1:9">
      <c r="A5" s="1101" t="s">
        <v>70</v>
      </c>
      <c r="B5" s="1102"/>
      <c r="C5" s="1102">
        <v>0</v>
      </c>
      <c r="D5" s="1096"/>
      <c r="E5" s="1096"/>
      <c r="F5" s="1096"/>
      <c r="G5" s="1096"/>
      <c r="H5" s="1096"/>
      <c r="I5" s="1096"/>
    </row>
    <row r="6" spans="1:9">
      <c r="A6" s="1103"/>
      <c r="B6" s="1100"/>
      <c r="C6" s="1100"/>
      <c r="D6" s="1096"/>
      <c r="E6" s="1096"/>
      <c r="F6" s="1096"/>
      <c r="G6" s="1096"/>
      <c r="H6" s="1096"/>
      <c r="I6" s="1096"/>
    </row>
    <row r="7" spans="1:9">
      <c r="A7" s="1104" t="s">
        <v>71</v>
      </c>
      <c r="B7" s="1105"/>
      <c r="C7" s="1105"/>
      <c r="D7" s="1096"/>
      <c r="E7" s="1096"/>
      <c r="F7" s="1096"/>
      <c r="G7" s="1096"/>
      <c r="H7" s="1096"/>
      <c r="I7" s="1096"/>
    </row>
    <row r="8" spans="1:9">
      <c r="A8" s="1106" t="s">
        <v>72</v>
      </c>
      <c r="B8" s="1102"/>
      <c r="C8" s="1102">
        <f>661808+290700</f>
        <v>952508</v>
      </c>
      <c r="D8" s="1096" t="s">
        <v>991</v>
      </c>
      <c r="E8" s="1096"/>
      <c r="F8" s="1096"/>
      <c r="G8" s="1096"/>
      <c r="H8" s="1096"/>
      <c r="I8" s="1096"/>
    </row>
    <row r="9" spans="1:9">
      <c r="A9" s="1107" t="s">
        <v>73</v>
      </c>
      <c r="B9" s="1108"/>
      <c r="C9" s="1108">
        <v>0</v>
      </c>
      <c r="D9" s="1096"/>
      <c r="E9" s="1096"/>
      <c r="F9" s="1096"/>
      <c r="G9" s="1096"/>
      <c r="H9" s="1096"/>
      <c r="I9" s="1096"/>
    </row>
    <row r="10" spans="1:9">
      <c r="A10" s="1109" t="s">
        <v>74</v>
      </c>
      <c r="B10" s="1108"/>
      <c r="C10" s="1108">
        <v>7000000</v>
      </c>
      <c r="D10" s="1096" t="s">
        <v>989</v>
      </c>
      <c r="E10" s="1096"/>
      <c r="F10" s="1096"/>
      <c r="G10" s="1096"/>
      <c r="H10" s="1096"/>
      <c r="I10" s="1096"/>
    </row>
    <row r="11" spans="1:9">
      <c r="A11" s="1106" t="s">
        <v>75</v>
      </c>
      <c r="B11" s="1102"/>
      <c r="C11" s="1102">
        <v>1814888</v>
      </c>
      <c r="D11" s="1105" t="s">
        <v>438</v>
      </c>
      <c r="E11" s="1096"/>
      <c r="F11" s="1096"/>
      <c r="G11" s="1096"/>
      <c r="H11" s="1096"/>
      <c r="I11" s="1096"/>
    </row>
    <row r="12" spans="1:9">
      <c r="A12" s="1107" t="s">
        <v>76</v>
      </c>
      <c r="B12" s="1108"/>
      <c r="C12" s="1108">
        <v>0</v>
      </c>
      <c r="D12" s="1096"/>
      <c r="E12" s="1096"/>
      <c r="F12" s="1096"/>
      <c r="G12" s="1096"/>
      <c r="H12" s="1096"/>
      <c r="I12" s="1096"/>
    </row>
    <row r="13" spans="1:9">
      <c r="A13" s="1109" t="s">
        <v>77</v>
      </c>
      <c r="B13" s="1108"/>
      <c r="C13" s="1108">
        <v>0</v>
      </c>
      <c r="D13" s="1096"/>
      <c r="E13" s="1096"/>
      <c r="F13" s="1096"/>
      <c r="G13" s="1096"/>
      <c r="H13" s="1096"/>
      <c r="I13" s="1096"/>
    </row>
    <row r="14" spans="1:9">
      <c r="A14" s="1106" t="s">
        <v>78</v>
      </c>
      <c r="B14" s="1102"/>
      <c r="C14" s="1102">
        <v>0</v>
      </c>
      <c r="D14" s="1096"/>
      <c r="E14" s="1096"/>
      <c r="F14" s="1096"/>
      <c r="G14" s="1096"/>
      <c r="H14" s="1096"/>
      <c r="I14" s="1096"/>
    </row>
    <row r="15" spans="1:9">
      <c r="A15" s="1109" t="s">
        <v>79</v>
      </c>
      <c r="B15" s="1108"/>
      <c r="C15" s="1108">
        <f>3000000+167020+330905+142800</f>
        <v>3640725</v>
      </c>
      <c r="D15" s="1107" t="s">
        <v>1551</v>
      </c>
      <c r="E15" s="1096"/>
      <c r="F15" s="1096"/>
      <c r="G15" s="1096"/>
      <c r="H15" s="1096"/>
      <c r="I15" s="1096"/>
    </row>
    <row r="16" spans="1:9">
      <c r="A16" s="1109" t="s">
        <v>80</v>
      </c>
      <c r="B16" s="1108"/>
      <c r="C16" s="50">
        <v>1141201</v>
      </c>
      <c r="D16" s="1096" t="s">
        <v>484</v>
      </c>
      <c r="E16" s="1096"/>
      <c r="F16" s="1096"/>
      <c r="G16" s="1096"/>
      <c r="H16" s="1096"/>
      <c r="I16" s="1096"/>
    </row>
    <row r="17" spans="1:9">
      <c r="A17" s="1106" t="s">
        <v>81</v>
      </c>
      <c r="B17" s="1102"/>
      <c r="C17" s="39">
        <v>0</v>
      </c>
      <c r="D17" s="1096"/>
      <c r="E17" s="1096"/>
      <c r="F17" s="1096"/>
      <c r="G17" s="1096"/>
      <c r="H17" s="1096"/>
      <c r="I17" s="1096"/>
    </row>
    <row r="18" spans="1:9">
      <c r="A18" s="1109" t="s">
        <v>82</v>
      </c>
      <c r="B18" s="1108"/>
      <c r="C18" s="50">
        <v>5160455</v>
      </c>
      <c r="D18" s="1096" t="s">
        <v>485</v>
      </c>
      <c r="E18" s="1096"/>
      <c r="F18" s="1096"/>
      <c r="G18" s="1096"/>
      <c r="H18" s="1096"/>
      <c r="I18" s="1096"/>
    </row>
    <row r="19" spans="1:9">
      <c r="A19" s="1109" t="s">
        <v>83</v>
      </c>
      <c r="B19" s="1108"/>
      <c r="C19" s="1108">
        <v>0</v>
      </c>
      <c r="D19" s="1096"/>
      <c r="E19" s="1096"/>
      <c r="F19" s="1096"/>
      <c r="G19" s="1096"/>
      <c r="H19" s="1096"/>
      <c r="I19" s="1096"/>
    </row>
    <row r="20" spans="1:9">
      <c r="A20" s="1106" t="s">
        <v>84</v>
      </c>
      <c r="B20" s="1102"/>
      <c r="C20" s="1102">
        <v>0</v>
      </c>
      <c r="D20" s="1096"/>
      <c r="E20" s="1096"/>
      <c r="F20" s="1096"/>
      <c r="G20" s="1096"/>
      <c r="H20" s="1096"/>
      <c r="I20" s="1096"/>
    </row>
    <row r="21" spans="1:9">
      <c r="A21" s="1107" t="s">
        <v>86</v>
      </c>
      <c r="B21" s="1108"/>
      <c r="C21" s="1108">
        <v>0</v>
      </c>
      <c r="D21" s="1096"/>
      <c r="E21" s="1096"/>
      <c r="F21" s="1096"/>
      <c r="G21" s="1096"/>
      <c r="H21" s="1096"/>
      <c r="I21" s="1096"/>
    </row>
    <row r="22" spans="1:9">
      <c r="A22" s="1109" t="s">
        <v>87</v>
      </c>
      <c r="B22" s="1108"/>
      <c r="C22" s="1108">
        <v>0</v>
      </c>
      <c r="D22" s="1096"/>
      <c r="E22" s="1096"/>
      <c r="F22" s="1096"/>
      <c r="G22" s="1096"/>
      <c r="H22" s="1096"/>
      <c r="I22" s="1096"/>
    </row>
    <row r="23" spans="1:9">
      <c r="A23" s="1110" t="s">
        <v>883</v>
      </c>
      <c r="B23" s="1102"/>
      <c r="C23" s="1102">
        <v>0</v>
      </c>
      <c r="D23" s="1096"/>
      <c r="E23" s="1096"/>
      <c r="F23" s="1096"/>
      <c r="G23" s="1096"/>
      <c r="H23" s="1096"/>
      <c r="I23" s="1096"/>
    </row>
    <row r="24" spans="1:9">
      <c r="A24" s="1109" t="s">
        <v>88</v>
      </c>
      <c r="B24" s="1108"/>
      <c r="C24" s="1108">
        <v>49413</v>
      </c>
      <c r="D24" s="1096" t="s">
        <v>486</v>
      </c>
      <c r="E24" s="1096"/>
      <c r="F24" s="1096"/>
      <c r="G24" s="1096"/>
      <c r="H24" s="1096"/>
      <c r="I24" s="1096"/>
    </row>
    <row r="25" spans="1:9">
      <c r="A25" s="1109" t="s">
        <v>89</v>
      </c>
      <c r="B25" s="1108">
        <f>SUM(B6:B24)</f>
        <v>0</v>
      </c>
      <c r="C25" s="1108">
        <f>263888+213076</f>
        <v>476964</v>
      </c>
      <c r="D25" s="1096" t="s">
        <v>1552</v>
      </c>
      <c r="E25" s="1096"/>
      <c r="F25" s="1096"/>
      <c r="G25" s="1096"/>
      <c r="H25" s="1096"/>
      <c r="I25" s="1096"/>
    </row>
    <row r="26" spans="1:9">
      <c r="A26" s="1111" t="s">
        <v>884</v>
      </c>
      <c r="B26" s="1112"/>
      <c r="C26" s="1112"/>
      <c r="D26" s="1096"/>
      <c r="E26" s="1096"/>
      <c r="F26" s="1096"/>
      <c r="G26" s="1096"/>
      <c r="H26" s="1096"/>
      <c r="I26" s="1096"/>
    </row>
    <row r="27" spans="1:9">
      <c r="A27" s="1113" t="s">
        <v>90</v>
      </c>
      <c r="B27" s="1114"/>
      <c r="C27" s="1114">
        <f>SUM(C8:C26)</f>
        <v>20236154</v>
      </c>
      <c r="D27" s="1096"/>
      <c r="E27" s="1096"/>
      <c r="F27" s="1096"/>
      <c r="G27" s="1096"/>
      <c r="H27" s="1096"/>
      <c r="I27" s="1096"/>
    </row>
    <row r="28" spans="1:9">
      <c r="A28" s="1109"/>
      <c r="B28" s="1108"/>
      <c r="C28" s="1108"/>
      <c r="D28" s="1096"/>
      <c r="E28" s="1096"/>
      <c r="F28" s="1096"/>
      <c r="G28" s="1096"/>
      <c r="H28" s="1096"/>
      <c r="I28" s="1096"/>
    </row>
    <row r="29" spans="1:9">
      <c r="A29" s="1115" t="s">
        <v>885</v>
      </c>
      <c r="B29" s="1100"/>
      <c r="C29" s="1100"/>
      <c r="D29" s="1096"/>
      <c r="E29" s="1096"/>
      <c r="F29" s="1096"/>
      <c r="G29" s="1096"/>
      <c r="H29" s="1096"/>
      <c r="I29" s="1096"/>
    </row>
    <row r="30" spans="1:9">
      <c r="A30" s="1111" t="s">
        <v>92</v>
      </c>
      <c r="B30" s="1112"/>
      <c r="C30" s="1112">
        <v>0</v>
      </c>
      <c r="D30" s="1096"/>
      <c r="E30" s="1096"/>
      <c r="F30" s="1096"/>
      <c r="G30" s="1096"/>
      <c r="H30" s="1096"/>
      <c r="I30" s="1096"/>
    </row>
    <row r="31" spans="1:9">
      <c r="A31" s="1109" t="s">
        <v>93</v>
      </c>
      <c r="B31" s="1108"/>
      <c r="C31" s="1108">
        <v>0</v>
      </c>
      <c r="D31" s="1096"/>
      <c r="E31" s="1096"/>
      <c r="F31" s="1096"/>
      <c r="G31" s="1096"/>
      <c r="H31" s="1096"/>
      <c r="I31" s="1096"/>
    </row>
    <row r="32" spans="1:9">
      <c r="A32" s="1109" t="s">
        <v>94</v>
      </c>
      <c r="B32" s="1108"/>
      <c r="C32" s="1108">
        <v>0</v>
      </c>
      <c r="D32" s="1096"/>
      <c r="E32" s="1096"/>
      <c r="F32" s="1096"/>
      <c r="G32" s="1096"/>
      <c r="H32" s="1096"/>
      <c r="I32" s="1096"/>
    </row>
    <row r="33" spans="1:9">
      <c r="A33" s="1111" t="s">
        <v>95</v>
      </c>
      <c r="B33" s="1112"/>
      <c r="C33" s="1112">
        <v>0</v>
      </c>
      <c r="D33" s="1096"/>
      <c r="E33" s="1096"/>
      <c r="F33" s="1096"/>
      <c r="G33" s="1096"/>
      <c r="H33" s="1096"/>
      <c r="I33" s="1096"/>
    </row>
    <row r="34" spans="1:9">
      <c r="A34" s="1109" t="s">
        <v>96</v>
      </c>
      <c r="B34" s="1108"/>
      <c r="C34" s="1108"/>
      <c r="D34" s="1096"/>
      <c r="E34" s="1096"/>
      <c r="F34" s="1096"/>
      <c r="G34" s="1096"/>
      <c r="H34" s="1096"/>
      <c r="I34" s="1096"/>
    </row>
    <row r="35" spans="1:9">
      <c r="A35" s="1109" t="s">
        <v>448</v>
      </c>
      <c r="B35" s="1108"/>
      <c r="C35" s="1108"/>
      <c r="D35" s="1096"/>
      <c r="E35" s="1096"/>
      <c r="F35" s="1096"/>
      <c r="G35" s="1096"/>
      <c r="H35" s="1096"/>
      <c r="I35" s="1096"/>
    </row>
    <row r="36" spans="1:9">
      <c r="A36" s="1111" t="s">
        <v>97</v>
      </c>
      <c r="B36" s="1112"/>
      <c r="C36" s="1112">
        <v>0</v>
      </c>
      <c r="D36" s="1096"/>
      <c r="E36" s="1096"/>
      <c r="F36" s="1096"/>
      <c r="G36" s="1096"/>
      <c r="H36" s="1096"/>
      <c r="I36" s="1096"/>
    </row>
    <row r="37" spans="1:9">
      <c r="A37" s="1109" t="s">
        <v>98</v>
      </c>
      <c r="B37" s="1108"/>
      <c r="C37" s="1108">
        <v>0</v>
      </c>
      <c r="D37" s="1096"/>
      <c r="E37" s="1096"/>
      <c r="F37" s="1096"/>
      <c r="G37" s="1096"/>
      <c r="H37" s="1096"/>
      <c r="I37" s="1096"/>
    </row>
    <row r="38" spans="1:9">
      <c r="A38" s="1109" t="s">
        <v>454</v>
      </c>
      <c r="B38" s="1108"/>
      <c r="C38" s="1108">
        <v>0</v>
      </c>
      <c r="D38" s="1096"/>
      <c r="E38" s="1096"/>
      <c r="F38" s="1096"/>
      <c r="G38" s="1096"/>
      <c r="H38" s="1096"/>
      <c r="I38" s="1096"/>
    </row>
    <row r="39" spans="1:9">
      <c r="A39" s="1111" t="s">
        <v>85</v>
      </c>
      <c r="B39" s="1112"/>
      <c r="C39" s="1112">
        <v>0</v>
      </c>
      <c r="D39" s="1096"/>
      <c r="E39" s="1096"/>
      <c r="F39" s="1096"/>
      <c r="G39" s="1096"/>
      <c r="H39" s="1096"/>
      <c r="I39" s="1096"/>
    </row>
    <row r="40" spans="1:9">
      <c r="A40" s="1109" t="s">
        <v>99</v>
      </c>
      <c r="B40" s="1108"/>
      <c r="C40" s="1108">
        <v>0</v>
      </c>
      <c r="D40" s="1096"/>
      <c r="E40" s="1096"/>
      <c r="F40" s="1096"/>
      <c r="G40" s="1096"/>
      <c r="H40" s="1096"/>
      <c r="I40" s="1096"/>
    </row>
    <row r="41" spans="1:9">
      <c r="A41" s="1109" t="s">
        <v>100</v>
      </c>
      <c r="B41" s="1108"/>
      <c r="C41" s="1108">
        <v>73323</v>
      </c>
      <c r="D41" s="1096" t="s">
        <v>990</v>
      </c>
      <c r="E41" s="1096"/>
      <c r="F41" s="1096"/>
      <c r="G41" s="1096"/>
      <c r="H41" s="1096"/>
      <c r="I41" s="1096"/>
    </row>
    <row r="42" spans="1:9">
      <c r="A42" s="1111" t="s">
        <v>101</v>
      </c>
      <c r="B42" s="1112"/>
      <c r="C42" s="1112">
        <v>0</v>
      </c>
      <c r="D42" s="1096"/>
      <c r="E42" s="1096"/>
      <c r="F42" s="1096"/>
      <c r="G42" s="1096"/>
      <c r="H42" s="1096"/>
      <c r="I42" s="1096"/>
    </row>
    <row r="43" spans="1:9">
      <c r="A43" s="1109" t="s">
        <v>102</v>
      </c>
      <c r="B43" s="1108"/>
      <c r="C43" s="1108">
        <v>0</v>
      </c>
      <c r="D43" s="1096"/>
      <c r="E43" s="1096"/>
      <c r="F43" s="1096"/>
      <c r="G43" s="1096"/>
      <c r="H43" s="1096"/>
      <c r="I43" s="1096"/>
    </row>
    <row r="44" spans="1:9">
      <c r="A44" s="1109" t="s">
        <v>449</v>
      </c>
      <c r="B44" s="1108"/>
      <c r="C44" s="1108">
        <v>0</v>
      </c>
      <c r="D44" s="1096"/>
      <c r="E44" s="1096"/>
      <c r="F44" s="1096"/>
      <c r="G44" s="1096"/>
      <c r="H44" s="1096"/>
      <c r="I44" s="1096"/>
    </row>
    <row r="45" spans="1:9">
      <c r="A45" s="1116" t="s">
        <v>886</v>
      </c>
      <c r="B45" s="1112"/>
      <c r="C45" s="1112">
        <v>0</v>
      </c>
      <c r="D45" s="1096"/>
      <c r="E45" s="1096"/>
      <c r="F45" s="1096"/>
      <c r="G45" s="1096"/>
      <c r="H45" s="1096"/>
      <c r="I45" s="1096"/>
    </row>
    <row r="46" spans="1:9">
      <c r="A46" s="1109" t="s">
        <v>451</v>
      </c>
      <c r="B46" s="1108"/>
      <c r="C46" s="1108">
        <v>0</v>
      </c>
      <c r="D46" s="1096"/>
      <c r="E46" s="1096"/>
      <c r="F46" s="1096"/>
      <c r="G46" s="1096"/>
      <c r="H46" s="1096"/>
      <c r="I46" s="1096"/>
    </row>
    <row r="47" spans="1:9">
      <c r="A47" s="1109" t="s">
        <v>104</v>
      </c>
      <c r="B47" s="1108">
        <f>SUM(B29:B46)</f>
        <v>0</v>
      </c>
      <c r="C47" s="1108">
        <v>0</v>
      </c>
      <c r="D47" s="1096"/>
      <c r="E47" s="1096"/>
      <c r="F47" s="1096"/>
      <c r="G47" s="1096"/>
      <c r="H47" s="1096"/>
      <c r="I47" s="1096"/>
    </row>
    <row r="48" spans="1:9">
      <c r="A48" s="1117" t="s">
        <v>105</v>
      </c>
      <c r="B48" s="1118"/>
      <c r="C48" s="1118">
        <v>70448</v>
      </c>
      <c r="D48" s="1096"/>
      <c r="E48" s="1096"/>
      <c r="F48" s="1096"/>
      <c r="G48" s="1096"/>
      <c r="H48" s="1096"/>
      <c r="I48" s="1096"/>
    </row>
    <row r="49" spans="1:9" ht="16.5" thickBot="1">
      <c r="A49" s="1113" t="s">
        <v>106</v>
      </c>
      <c r="B49" s="1119"/>
      <c r="C49" s="1119">
        <v>16957163</v>
      </c>
      <c r="D49" s="1096"/>
      <c r="E49" s="1096"/>
      <c r="F49" s="1096"/>
      <c r="G49" s="1096"/>
      <c r="H49" s="1096"/>
      <c r="I49" s="1096"/>
    </row>
    <row r="50" spans="1:9" ht="16.5" thickTop="1">
      <c r="A50" s="1096"/>
      <c r="B50" s="1096"/>
      <c r="C50" s="1096"/>
      <c r="D50" s="1096"/>
      <c r="E50" s="1096"/>
      <c r="F50" s="1096"/>
      <c r="G50" s="1096"/>
      <c r="H50" s="1096"/>
      <c r="I50" s="1096"/>
    </row>
  </sheetData>
  <pageMargins left="0.75" right="0.75" top="1" bottom="1" header="0.5" footer="0.5"/>
  <pageSetup orientation="portrait" horizontalDpi="4294967292" verticalDpi="4294967292"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147"/>
  <sheetViews>
    <sheetView workbookViewId="0">
      <selection activeCell="D4" sqref="D4"/>
    </sheetView>
  </sheetViews>
  <sheetFormatPr defaultColWidth="11" defaultRowHeight="15.75"/>
  <cols>
    <col min="1" max="1" width="21" customWidth="1"/>
    <col min="2" max="2" width="18.875" customWidth="1"/>
    <col min="4" max="4" width="19.375" customWidth="1"/>
  </cols>
  <sheetData>
    <row r="1" spans="1:4">
      <c r="A1" t="s">
        <v>238</v>
      </c>
    </row>
    <row r="3" spans="1:4">
      <c r="A3" t="s">
        <v>239</v>
      </c>
      <c r="B3">
        <f>COUNT(B9:B75)</f>
        <v>55</v>
      </c>
      <c r="D3" t="s">
        <v>992</v>
      </c>
    </row>
    <row r="4" spans="1:4">
      <c r="A4" s="211" t="s">
        <v>240</v>
      </c>
      <c r="B4" s="212">
        <f>SUM(B9:B74)</f>
        <v>3673680</v>
      </c>
      <c r="D4" t="s">
        <v>993</v>
      </c>
    </row>
    <row r="8" spans="1:4" ht="16.5" thickBot="1">
      <c r="A8" s="146" t="s">
        <v>182</v>
      </c>
      <c r="B8" s="146"/>
    </row>
    <row r="9" spans="1:4" ht="16.5" thickTop="1">
      <c r="A9" s="203" t="s">
        <v>183</v>
      </c>
      <c r="B9" s="204">
        <v>58116</v>
      </c>
    </row>
    <row r="10" spans="1:4">
      <c r="A10" s="203" t="s">
        <v>184</v>
      </c>
      <c r="B10" s="204">
        <v>47689</v>
      </c>
    </row>
    <row r="11" spans="1:4">
      <c r="A11" s="203" t="s">
        <v>185</v>
      </c>
      <c r="B11" s="204">
        <v>84020</v>
      </c>
    </row>
    <row r="12" spans="1:4">
      <c r="A12" s="203" t="s">
        <v>186</v>
      </c>
      <c r="B12" s="204">
        <v>57957</v>
      </c>
    </row>
    <row r="13" spans="1:4">
      <c r="A13" s="203" t="s">
        <v>187</v>
      </c>
      <c r="B13" s="204">
        <v>97000</v>
      </c>
    </row>
    <row r="14" spans="1:4">
      <c r="A14" s="203" t="s">
        <v>188</v>
      </c>
      <c r="B14" s="204">
        <v>23019</v>
      </c>
    </row>
    <row r="15" spans="1:4">
      <c r="A15" s="203" t="s">
        <v>189</v>
      </c>
      <c r="B15" s="204">
        <v>29426</v>
      </c>
      <c r="C15" s="57"/>
      <c r="D15" s="57"/>
    </row>
    <row r="16" spans="1:4">
      <c r="A16" s="203" t="s">
        <v>190</v>
      </c>
      <c r="B16" s="204">
        <v>27329</v>
      </c>
      <c r="C16" s="57"/>
      <c r="D16" s="57"/>
    </row>
    <row r="17" spans="1:4" ht="24">
      <c r="A17" s="203" t="s">
        <v>191</v>
      </c>
      <c r="B17" s="204">
        <v>153057</v>
      </c>
      <c r="C17" s="203"/>
      <c r="D17" s="204"/>
    </row>
    <row r="18" spans="1:4">
      <c r="A18" s="203" t="s">
        <v>192</v>
      </c>
      <c r="B18" s="204">
        <v>37792</v>
      </c>
      <c r="C18" s="57"/>
      <c r="D18" s="57"/>
    </row>
    <row r="19" spans="1:4">
      <c r="A19" s="203" t="s">
        <v>193</v>
      </c>
      <c r="B19" s="204">
        <v>37329</v>
      </c>
      <c r="C19" s="57"/>
      <c r="D19" s="57"/>
    </row>
    <row r="20" spans="1:4">
      <c r="A20" s="203" t="s">
        <v>194</v>
      </c>
      <c r="B20" s="204">
        <v>20816</v>
      </c>
      <c r="C20" s="57"/>
      <c r="D20" s="57"/>
    </row>
    <row r="21" spans="1:4">
      <c r="A21" s="203" t="s">
        <v>195</v>
      </c>
      <c r="B21" s="204">
        <v>64455</v>
      </c>
      <c r="C21" s="57"/>
      <c r="D21" s="57"/>
    </row>
    <row r="22" spans="1:4">
      <c r="A22" s="203" t="s">
        <v>196</v>
      </c>
      <c r="B22" s="204">
        <v>44144</v>
      </c>
      <c r="C22" s="57"/>
      <c r="D22" s="57"/>
    </row>
    <row r="23" spans="1:4">
      <c r="A23" s="203" t="s">
        <v>197</v>
      </c>
      <c r="B23" s="204">
        <v>11673</v>
      </c>
      <c r="C23" s="57"/>
      <c r="D23" s="57"/>
    </row>
    <row r="24" spans="1:4">
      <c r="A24" s="203" t="s">
        <v>198</v>
      </c>
      <c r="B24" s="204">
        <v>83148</v>
      </c>
      <c r="C24" s="57"/>
      <c r="D24" s="57"/>
    </row>
    <row r="25" spans="1:4">
      <c r="A25" s="203" t="s">
        <v>199</v>
      </c>
      <c r="B25" s="204">
        <v>39011</v>
      </c>
      <c r="C25" s="57"/>
      <c r="D25" s="57"/>
    </row>
    <row r="26" spans="1:4">
      <c r="A26" s="203" t="s">
        <v>200</v>
      </c>
      <c r="B26" s="204">
        <v>211077</v>
      </c>
      <c r="C26" s="57"/>
      <c r="D26" s="57"/>
    </row>
    <row r="27" spans="1:4">
      <c r="A27" s="203" t="s">
        <v>201</v>
      </c>
      <c r="B27" s="204">
        <v>58600</v>
      </c>
      <c r="C27" s="57"/>
      <c r="D27" s="57"/>
    </row>
    <row r="28" spans="1:4">
      <c r="A28" s="203" t="s">
        <v>202</v>
      </c>
      <c r="B28" s="204">
        <v>55341</v>
      </c>
      <c r="C28" s="57"/>
      <c r="D28" s="57"/>
    </row>
    <row r="29" spans="1:4" ht="24">
      <c r="A29" s="203" t="s">
        <v>203</v>
      </c>
      <c r="B29" s="204">
        <v>23502</v>
      </c>
      <c r="C29" s="57"/>
      <c r="D29" s="57"/>
    </row>
    <row r="30" spans="1:4">
      <c r="A30" s="203" t="s">
        <v>204</v>
      </c>
      <c r="B30" s="204">
        <v>105456</v>
      </c>
      <c r="C30" s="57"/>
      <c r="D30" s="57"/>
    </row>
    <row r="31" spans="1:4">
      <c r="A31" s="203" t="s">
        <v>205</v>
      </c>
      <c r="B31" s="206">
        <v>63167</v>
      </c>
      <c r="C31" s="57"/>
      <c r="D31" s="57"/>
    </row>
    <row r="32" spans="1:4">
      <c r="A32" s="203" t="s">
        <v>206</v>
      </c>
      <c r="B32" s="206">
        <v>24144</v>
      </c>
      <c r="C32" s="57"/>
      <c r="D32" s="57"/>
    </row>
    <row r="33" spans="1:4">
      <c r="A33" s="203" t="s">
        <v>207</v>
      </c>
      <c r="B33" s="206">
        <v>40032</v>
      </c>
      <c r="C33" s="57"/>
      <c r="D33" s="57"/>
    </row>
    <row r="34" spans="1:4">
      <c r="A34" s="203" t="s">
        <v>208</v>
      </c>
      <c r="B34" s="206">
        <v>41374</v>
      </c>
      <c r="C34" s="57"/>
      <c r="D34" s="57"/>
    </row>
    <row r="35" spans="1:4">
      <c r="A35" s="203" t="s">
        <v>209</v>
      </c>
      <c r="B35" s="206">
        <v>76008</v>
      </c>
      <c r="C35" s="57"/>
      <c r="D35" s="57"/>
    </row>
    <row r="36" spans="1:4">
      <c r="A36" s="203" t="s">
        <v>210</v>
      </c>
      <c r="B36" s="206">
        <v>342000</v>
      </c>
      <c r="C36" s="57"/>
      <c r="D36" s="57"/>
    </row>
    <row r="37" spans="1:4">
      <c r="A37" s="203" t="s">
        <v>211</v>
      </c>
      <c r="B37" s="206">
        <v>21819</v>
      </c>
      <c r="C37" s="57"/>
      <c r="D37" s="57"/>
    </row>
    <row r="38" spans="1:4" ht="24">
      <c r="A38" s="203" t="s">
        <v>212</v>
      </c>
      <c r="B38" s="206">
        <v>115991</v>
      </c>
      <c r="C38" s="57"/>
      <c r="D38" s="57"/>
    </row>
    <row r="39" spans="1:4" ht="24">
      <c r="A39" s="203" t="s">
        <v>213</v>
      </c>
      <c r="B39" s="206">
        <v>139078</v>
      </c>
      <c r="C39" s="57"/>
      <c r="D39" s="57"/>
    </row>
    <row r="40" spans="1:4" ht="24">
      <c r="A40" s="203" t="s">
        <v>214</v>
      </c>
      <c r="B40" s="206">
        <v>46011</v>
      </c>
      <c r="C40" s="57"/>
      <c r="D40" s="57"/>
    </row>
    <row r="41" spans="1:4">
      <c r="A41" s="203"/>
      <c r="B41" s="206"/>
      <c r="C41" s="57"/>
      <c r="D41" s="57"/>
    </row>
    <row r="42" spans="1:4">
      <c r="A42" s="203" t="s">
        <v>215</v>
      </c>
      <c r="B42" s="206">
        <v>54909</v>
      </c>
      <c r="C42" s="57"/>
      <c r="D42" s="57"/>
    </row>
    <row r="43" spans="1:4" ht="24">
      <c r="A43" s="203" t="s">
        <v>216</v>
      </c>
      <c r="B43" s="206">
        <v>17588</v>
      </c>
      <c r="C43" s="57"/>
      <c r="D43" s="57"/>
    </row>
    <row r="44" spans="1:4" ht="24">
      <c r="A44" s="203" t="s">
        <v>217</v>
      </c>
      <c r="B44" s="206">
        <v>60635</v>
      </c>
      <c r="C44" s="57"/>
      <c r="D44" s="57"/>
    </row>
    <row r="45" spans="1:4">
      <c r="A45" s="203" t="s">
        <v>218</v>
      </c>
      <c r="B45" s="206">
        <v>236227</v>
      </c>
      <c r="C45" s="57"/>
      <c r="D45" s="57"/>
    </row>
    <row r="46" spans="1:4">
      <c r="A46" s="203" t="s">
        <v>219</v>
      </c>
      <c r="B46" s="206">
        <v>80368</v>
      </c>
      <c r="C46" s="57"/>
      <c r="D46" s="57"/>
    </row>
    <row r="47" spans="1:4">
      <c r="A47" s="203" t="s">
        <v>220</v>
      </c>
      <c r="B47" s="206">
        <v>182437</v>
      </c>
      <c r="C47" s="57"/>
      <c r="D47" s="57"/>
    </row>
    <row r="48" spans="1:4">
      <c r="A48" s="203" t="s">
        <v>221</v>
      </c>
      <c r="B48" s="206">
        <v>109698</v>
      </c>
      <c r="C48" s="57"/>
      <c r="D48" s="57"/>
    </row>
    <row r="49" spans="1:4">
      <c r="A49" s="203" t="s">
        <v>222</v>
      </c>
      <c r="B49" s="206">
        <v>2040</v>
      </c>
      <c r="C49" s="57"/>
      <c r="D49" s="57"/>
    </row>
    <row r="50" spans="1:4">
      <c r="A50" s="203" t="s">
        <v>223</v>
      </c>
      <c r="B50" s="206">
        <v>16188</v>
      </c>
      <c r="C50" s="57"/>
      <c r="D50" s="57"/>
    </row>
    <row r="51" spans="1:4">
      <c r="A51" s="203" t="s">
        <v>224</v>
      </c>
      <c r="B51" s="206">
        <v>87486</v>
      </c>
      <c r="C51" s="57"/>
      <c r="D51" s="57"/>
    </row>
    <row r="52" spans="1:4">
      <c r="A52" s="203" t="s">
        <v>225</v>
      </c>
      <c r="B52" s="206">
        <v>37946</v>
      </c>
      <c r="C52" s="57"/>
      <c r="D52" s="57"/>
    </row>
    <row r="53" spans="1:4">
      <c r="A53" s="203" t="s">
        <v>226</v>
      </c>
      <c r="B53" s="206">
        <v>5551</v>
      </c>
      <c r="C53" s="57"/>
      <c r="D53" s="57"/>
    </row>
    <row r="54" spans="1:4">
      <c r="A54" s="203" t="s">
        <v>227</v>
      </c>
      <c r="B54" s="206">
        <v>15364</v>
      </c>
      <c r="C54" s="57"/>
      <c r="D54" s="57"/>
    </row>
    <row r="55" spans="1:4">
      <c r="A55" s="203" t="s">
        <v>228</v>
      </c>
      <c r="B55" s="207">
        <v>107213</v>
      </c>
      <c r="C55" s="57"/>
      <c r="D55" s="57"/>
    </row>
    <row r="56" spans="1:4">
      <c r="A56" s="203" t="s">
        <v>229</v>
      </c>
      <c r="B56" s="207">
        <v>73704</v>
      </c>
      <c r="C56" s="57"/>
      <c r="D56" s="57"/>
    </row>
    <row r="57" spans="1:4">
      <c r="A57" s="203" t="s">
        <v>230</v>
      </c>
      <c r="B57" s="206">
        <v>96322</v>
      </c>
      <c r="C57" s="57"/>
      <c r="D57" s="57"/>
    </row>
    <row r="58" spans="1:4">
      <c r="A58" s="203" t="s">
        <v>231</v>
      </c>
      <c r="B58" s="206">
        <v>28380</v>
      </c>
      <c r="C58" s="57"/>
      <c r="D58" s="57"/>
    </row>
    <row r="59" spans="1:4">
      <c r="A59" s="203" t="s">
        <v>232</v>
      </c>
      <c r="B59" s="206">
        <v>13893</v>
      </c>
      <c r="C59" s="57"/>
      <c r="D59" s="57"/>
    </row>
    <row r="60" spans="1:4">
      <c r="A60" s="203" t="s">
        <v>233</v>
      </c>
      <c r="B60" s="206">
        <v>13628</v>
      </c>
      <c r="C60" s="57"/>
      <c r="D60" s="57"/>
    </row>
    <row r="61" spans="1:4" ht="24">
      <c r="A61" s="203" t="s">
        <v>234</v>
      </c>
      <c r="B61" s="206">
        <v>8283</v>
      </c>
      <c r="C61" s="57"/>
      <c r="D61" s="57"/>
    </row>
    <row r="62" spans="1:4">
      <c r="A62" s="203" t="s">
        <v>235</v>
      </c>
      <c r="B62" s="206">
        <v>2943</v>
      </c>
      <c r="C62" s="57"/>
      <c r="D62" s="57"/>
    </row>
    <row r="63" spans="1:4">
      <c r="A63" s="203" t="s">
        <v>236</v>
      </c>
      <c r="B63" s="206">
        <v>103976</v>
      </c>
      <c r="C63" s="57"/>
      <c r="D63" s="57"/>
    </row>
    <row r="64" spans="1:4">
      <c r="A64" s="203" t="s">
        <v>237</v>
      </c>
      <c r="B64" s="206">
        <v>39320</v>
      </c>
      <c r="C64" s="57"/>
      <c r="D64" s="57"/>
    </row>
    <row r="65" spans="1:4">
      <c r="A65" s="205"/>
      <c r="B65" s="203"/>
      <c r="C65" s="57"/>
      <c r="D65" s="57"/>
    </row>
    <row r="66" spans="1:4">
      <c r="A66" s="203" t="s">
        <v>241</v>
      </c>
      <c r="B66" s="203"/>
      <c r="C66" s="57"/>
      <c r="D66" s="57"/>
    </row>
    <row r="67" spans="1:4">
      <c r="A67" s="203" t="s">
        <v>242</v>
      </c>
      <c r="B67" s="203"/>
      <c r="C67" s="57"/>
      <c r="D67" s="57"/>
    </row>
    <row r="68" spans="1:4">
      <c r="A68" s="203" t="s">
        <v>243</v>
      </c>
      <c r="B68" s="203"/>
      <c r="C68" s="57"/>
      <c r="D68" s="57"/>
    </row>
    <row r="69" spans="1:4">
      <c r="A69" s="203"/>
      <c r="B69" s="203"/>
      <c r="C69" s="57"/>
      <c r="D69" s="57"/>
    </row>
    <row r="70" spans="1:4">
      <c r="A70" s="57"/>
      <c r="B70" s="57"/>
      <c r="C70" s="57"/>
      <c r="D70" s="57"/>
    </row>
    <row r="71" spans="1:4">
      <c r="A71" s="57"/>
      <c r="B71" s="57"/>
      <c r="C71" s="57"/>
      <c r="D71" s="57"/>
    </row>
    <row r="72" spans="1:4">
      <c r="A72" s="57"/>
      <c r="B72" s="57"/>
      <c r="C72" s="57"/>
      <c r="D72" s="57"/>
    </row>
    <row r="73" spans="1:4">
      <c r="A73" s="57"/>
      <c r="B73" s="57"/>
      <c r="C73" s="57"/>
      <c r="D73" s="57"/>
    </row>
    <row r="74" spans="1:4">
      <c r="A74" s="57"/>
      <c r="B74" s="57"/>
      <c r="C74" s="57"/>
      <c r="D74" s="57"/>
    </row>
    <row r="75" spans="1:4">
      <c r="A75" s="57"/>
      <c r="B75" s="57"/>
      <c r="C75" s="57"/>
      <c r="D75" s="57"/>
    </row>
    <row r="76" spans="1:4">
      <c r="A76" s="57"/>
      <c r="B76" s="57"/>
      <c r="C76" s="57"/>
      <c r="D76" s="57"/>
    </row>
    <row r="77" spans="1:4">
      <c r="A77" s="57"/>
      <c r="B77" s="57"/>
      <c r="C77" s="57"/>
      <c r="D77" s="57"/>
    </row>
    <row r="78" spans="1:4">
      <c r="A78" s="205"/>
      <c r="B78" s="205"/>
      <c r="C78" s="57"/>
      <c r="D78" s="57"/>
    </row>
    <row r="79" spans="1:4">
      <c r="A79" s="205"/>
      <c r="B79" s="205"/>
      <c r="C79" s="57"/>
      <c r="D79" s="57"/>
    </row>
    <row r="80" spans="1:4">
      <c r="A80" s="205"/>
      <c r="B80" s="205"/>
      <c r="C80" s="57"/>
      <c r="D80" s="57"/>
    </row>
    <row r="81" spans="1:4">
      <c r="A81" s="205"/>
      <c r="B81" s="205"/>
      <c r="C81" s="57"/>
      <c r="D81" s="57"/>
    </row>
    <row r="82" spans="1:4">
      <c r="A82" s="205"/>
      <c r="B82" s="205"/>
      <c r="C82" s="57"/>
      <c r="D82" s="57"/>
    </row>
    <row r="83" spans="1:4">
      <c r="A83" s="205"/>
      <c r="B83" s="205"/>
      <c r="C83" s="57"/>
      <c r="D83" s="57"/>
    </row>
    <row r="84" spans="1:4">
      <c r="A84" s="205"/>
      <c r="B84" s="205"/>
      <c r="C84" s="57"/>
      <c r="D84" s="57"/>
    </row>
    <row r="85" spans="1:4">
      <c r="A85" s="205"/>
      <c r="B85" s="205"/>
      <c r="C85" s="57"/>
      <c r="D85" s="57"/>
    </row>
    <row r="86" spans="1:4">
      <c r="A86" s="205"/>
      <c r="B86" s="205"/>
      <c r="C86" s="57"/>
      <c r="D86" s="57"/>
    </row>
    <row r="87" spans="1:4">
      <c r="A87" s="205"/>
      <c r="B87" s="205"/>
      <c r="C87" s="57"/>
      <c r="D87" s="57"/>
    </row>
    <row r="88" spans="1:4">
      <c r="A88" s="205"/>
      <c r="B88" s="205"/>
      <c r="C88" s="57"/>
      <c r="D88" s="57"/>
    </row>
    <row r="89" spans="1:4">
      <c r="A89" s="205"/>
      <c r="B89" s="205"/>
      <c r="C89" s="57"/>
      <c r="D89" s="57"/>
    </row>
    <row r="90" spans="1:4">
      <c r="A90" s="205"/>
      <c r="B90" s="205"/>
      <c r="C90" s="57"/>
      <c r="D90" s="57"/>
    </row>
    <row r="91" spans="1:4">
      <c r="A91" s="205"/>
      <c r="B91" s="205"/>
      <c r="C91" s="57"/>
      <c r="D91" s="57"/>
    </row>
    <row r="92" spans="1:4">
      <c r="A92" s="205"/>
      <c r="B92" s="205"/>
      <c r="C92" s="57"/>
      <c r="D92" s="57"/>
    </row>
    <row r="93" spans="1:4">
      <c r="A93" s="205"/>
      <c r="B93" s="205"/>
      <c r="C93" s="57"/>
      <c r="D93" s="57"/>
    </row>
    <row r="94" spans="1:4">
      <c r="A94" s="205"/>
      <c r="B94" s="205"/>
      <c r="C94" s="57"/>
      <c r="D94" s="57"/>
    </row>
    <row r="95" spans="1:4">
      <c r="A95" s="57"/>
      <c r="B95" s="57"/>
      <c r="C95" s="57"/>
      <c r="D95" s="57"/>
    </row>
    <row r="96" spans="1:4">
      <c r="A96" s="57"/>
      <c r="B96" s="57"/>
      <c r="C96" s="57"/>
      <c r="D96" s="57"/>
    </row>
    <row r="97" spans="1:4">
      <c r="A97" s="205"/>
      <c r="B97" s="205"/>
      <c r="C97" s="57"/>
      <c r="D97" s="57"/>
    </row>
    <row r="98" spans="1:4">
      <c r="A98" s="205"/>
      <c r="B98" s="205"/>
      <c r="C98" s="57"/>
      <c r="D98" s="57"/>
    </row>
    <row r="99" spans="1:4">
      <c r="A99" s="57"/>
      <c r="B99" s="57"/>
      <c r="C99" s="57"/>
      <c r="D99" s="57"/>
    </row>
    <row r="100" spans="1:4">
      <c r="A100" s="57"/>
      <c r="B100" s="57"/>
      <c r="C100" s="57"/>
      <c r="D100" s="57"/>
    </row>
    <row r="101" spans="1:4">
      <c r="A101" s="57"/>
      <c r="B101" s="57"/>
      <c r="C101" s="57"/>
      <c r="D101" s="57"/>
    </row>
    <row r="102" spans="1:4">
      <c r="A102" s="57"/>
      <c r="B102" s="57"/>
      <c r="C102" s="57"/>
      <c r="D102" s="57"/>
    </row>
    <row r="103" spans="1:4">
      <c r="A103" s="205"/>
      <c r="B103" s="205"/>
      <c r="C103" s="57"/>
      <c r="D103" s="57"/>
    </row>
    <row r="104" spans="1:4">
      <c r="A104" s="205"/>
      <c r="B104" s="205"/>
      <c r="C104" s="57"/>
      <c r="D104" s="57"/>
    </row>
    <row r="105" spans="1:4">
      <c r="A105" s="205"/>
      <c r="B105" s="205"/>
      <c r="C105" s="57"/>
      <c r="D105" s="57"/>
    </row>
    <row r="106" spans="1:4">
      <c r="A106" s="205"/>
      <c r="B106" s="205"/>
      <c r="C106" s="57"/>
      <c r="D106" s="57"/>
    </row>
    <row r="107" spans="1:4">
      <c r="A107" s="205"/>
      <c r="B107" s="205"/>
      <c r="C107" s="57"/>
      <c r="D107" s="57"/>
    </row>
    <row r="108" spans="1:4">
      <c r="A108" s="205"/>
      <c r="B108" s="205"/>
      <c r="C108" s="57"/>
      <c r="D108" s="57"/>
    </row>
    <row r="109" spans="1:4">
      <c r="A109" s="205"/>
      <c r="B109" s="205"/>
      <c r="C109" s="57"/>
      <c r="D109" s="57"/>
    </row>
    <row r="110" spans="1:4">
      <c r="A110" s="205"/>
      <c r="B110" s="205"/>
      <c r="C110" s="57"/>
      <c r="D110" s="57"/>
    </row>
    <row r="111" spans="1:4">
      <c r="A111" s="205"/>
      <c r="B111" s="205"/>
      <c r="C111" s="57"/>
      <c r="D111" s="57"/>
    </row>
    <row r="112" spans="1:4">
      <c r="A112" s="205"/>
      <c r="B112" s="205"/>
      <c r="C112" s="57"/>
      <c r="D112" s="57"/>
    </row>
    <row r="113" spans="1:4">
      <c r="A113" s="205"/>
      <c r="B113" s="205"/>
      <c r="C113" s="57"/>
      <c r="D113" s="57"/>
    </row>
    <row r="114" spans="1:4">
      <c r="A114" s="205"/>
      <c r="B114" s="205"/>
      <c r="C114" s="57"/>
      <c r="D114" s="57"/>
    </row>
    <row r="115" spans="1:4">
      <c r="A115" s="205"/>
      <c r="B115" s="205"/>
      <c r="C115" s="57"/>
      <c r="D115" s="57"/>
    </row>
    <row r="116" spans="1:4">
      <c r="A116" s="205"/>
      <c r="B116" s="205"/>
      <c r="C116" s="57"/>
      <c r="D116" s="57"/>
    </row>
    <row r="117" spans="1:4">
      <c r="A117" s="57"/>
      <c r="B117" s="57"/>
      <c r="C117" s="57"/>
      <c r="D117" s="57"/>
    </row>
    <row r="118" spans="1:4">
      <c r="A118" s="205"/>
      <c r="B118" s="205"/>
      <c r="C118" s="57"/>
      <c r="D118" s="57"/>
    </row>
    <row r="119" spans="1:4">
      <c r="A119" s="57"/>
      <c r="B119" s="57"/>
      <c r="C119" s="57"/>
      <c r="D119" s="57"/>
    </row>
    <row r="120" spans="1:4">
      <c r="A120" s="57"/>
      <c r="B120" s="57"/>
      <c r="C120" s="57"/>
      <c r="D120" s="57"/>
    </row>
    <row r="121" spans="1:4">
      <c r="A121" s="205"/>
      <c r="B121" s="205"/>
      <c r="C121" s="57"/>
      <c r="D121" s="57"/>
    </row>
    <row r="122" spans="1:4">
      <c r="A122" s="205"/>
      <c r="B122" s="205"/>
      <c r="C122" s="57"/>
      <c r="D122" s="57"/>
    </row>
    <row r="123" spans="1:4">
      <c r="A123" s="205"/>
      <c r="B123" s="205"/>
      <c r="C123" s="57"/>
      <c r="D123" s="57"/>
    </row>
    <row r="124" spans="1:4">
      <c r="A124" s="205"/>
      <c r="B124" s="205"/>
      <c r="C124" s="57"/>
      <c r="D124" s="57"/>
    </row>
    <row r="125" spans="1:4">
      <c r="A125" s="205"/>
      <c r="B125" s="205"/>
      <c r="C125" s="57"/>
      <c r="D125" s="57"/>
    </row>
    <row r="126" spans="1:4">
      <c r="A126" s="57"/>
      <c r="B126" s="57"/>
      <c r="C126" s="57"/>
      <c r="D126" s="57"/>
    </row>
    <row r="127" spans="1:4">
      <c r="A127" s="57"/>
      <c r="B127" s="57"/>
      <c r="C127" s="57"/>
      <c r="D127" s="57"/>
    </row>
    <row r="128" spans="1:4">
      <c r="A128" s="57"/>
      <c r="B128" s="57"/>
      <c r="C128" s="57"/>
      <c r="D128" s="57"/>
    </row>
    <row r="129" spans="1:4">
      <c r="A129" s="57"/>
      <c r="B129" s="57"/>
      <c r="C129" s="57"/>
      <c r="D129" s="57"/>
    </row>
    <row r="130" spans="1:4">
      <c r="A130" s="57"/>
      <c r="B130" s="57"/>
      <c r="C130" s="57"/>
      <c r="D130" s="57"/>
    </row>
    <row r="131" spans="1:4">
      <c r="A131" s="57"/>
      <c r="B131" s="57"/>
      <c r="C131" s="57"/>
      <c r="D131" s="57"/>
    </row>
    <row r="132" spans="1:4">
      <c r="A132" s="57"/>
      <c r="B132" s="57"/>
      <c r="C132" s="57"/>
      <c r="D132" s="57"/>
    </row>
    <row r="133" spans="1:4">
      <c r="A133" s="57"/>
      <c r="B133" s="57"/>
      <c r="C133" s="57"/>
      <c r="D133" s="57"/>
    </row>
    <row r="134" spans="1:4">
      <c r="A134" s="57"/>
      <c r="B134" s="57"/>
      <c r="C134" s="57"/>
      <c r="D134" s="57"/>
    </row>
    <row r="135" spans="1:4">
      <c r="A135" s="57"/>
      <c r="B135" s="57"/>
      <c r="C135" s="57"/>
      <c r="D135" s="57"/>
    </row>
    <row r="136" spans="1:4">
      <c r="A136" s="57"/>
      <c r="B136" s="57"/>
      <c r="C136" s="57"/>
      <c r="D136" s="57"/>
    </row>
    <row r="137" spans="1:4">
      <c r="A137" s="57"/>
      <c r="B137" s="57"/>
      <c r="C137" s="57"/>
      <c r="D137" s="57"/>
    </row>
    <row r="138" spans="1:4">
      <c r="A138" s="57"/>
      <c r="B138" s="57"/>
      <c r="C138" s="57"/>
      <c r="D138" s="57"/>
    </row>
    <row r="139" spans="1:4">
      <c r="A139" s="57"/>
      <c r="B139" s="57"/>
      <c r="C139" s="57"/>
      <c r="D139" s="57"/>
    </row>
    <row r="140" spans="1:4">
      <c r="A140" s="57"/>
      <c r="B140" s="57"/>
      <c r="C140" s="57"/>
      <c r="D140" s="57"/>
    </row>
    <row r="141" spans="1:4">
      <c r="A141" s="57"/>
      <c r="B141" s="57"/>
      <c r="C141" s="57"/>
      <c r="D141" s="57"/>
    </row>
    <row r="142" spans="1:4">
      <c r="A142" s="57"/>
      <c r="B142" s="57"/>
      <c r="C142" s="57"/>
      <c r="D142" s="57"/>
    </row>
    <row r="143" spans="1:4">
      <c r="A143" s="57"/>
      <c r="B143" s="57"/>
      <c r="C143" s="57"/>
      <c r="D143" s="57"/>
    </row>
    <row r="144" spans="1:4">
      <c r="A144" s="57"/>
      <c r="B144" s="57"/>
      <c r="C144" s="57"/>
      <c r="D144" s="57"/>
    </row>
    <row r="145" spans="1:4">
      <c r="A145" s="57"/>
      <c r="B145" s="57"/>
      <c r="C145" s="57"/>
      <c r="D145" s="57"/>
    </row>
    <row r="146" spans="1:4">
      <c r="A146" s="57"/>
      <c r="B146" s="57"/>
      <c r="C146" s="57"/>
      <c r="D146" s="57"/>
    </row>
    <row r="147" spans="1:4">
      <c r="A147" s="57"/>
      <c r="B147" s="57"/>
      <c r="C147" s="57"/>
      <c r="D147" s="57"/>
    </row>
  </sheetData>
  <pageMargins left="0.75" right="0.75" top="1" bottom="1" header="0.5" footer="0.5"/>
  <pageSetup orientation="portrait" horizontalDpi="4294967292" verticalDpi="4294967292"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R60"/>
  <sheetViews>
    <sheetView workbookViewId="0">
      <selection activeCell="R41" sqref="R41"/>
    </sheetView>
  </sheetViews>
  <sheetFormatPr defaultColWidth="11" defaultRowHeight="15.75"/>
  <cols>
    <col min="1" max="1" width="48" customWidth="1"/>
    <col min="16" max="16" width="13.125" bestFit="1" customWidth="1"/>
    <col min="18" max="18" width="13.5" customWidth="1"/>
  </cols>
  <sheetData>
    <row r="1" spans="1:18">
      <c r="A1" s="10" t="s">
        <v>692</v>
      </c>
      <c r="B1" t="s">
        <v>693</v>
      </c>
    </row>
    <row r="5" spans="1:18" ht="31.5">
      <c r="A5" s="651" t="s">
        <v>645</v>
      </c>
      <c r="B5" s="652"/>
      <c r="C5" s="652"/>
      <c r="D5" s="652"/>
      <c r="E5" s="652"/>
      <c r="F5" s="652"/>
      <c r="G5" s="652"/>
      <c r="H5" s="652"/>
      <c r="I5" s="652"/>
      <c r="J5" s="652"/>
      <c r="K5" s="652"/>
      <c r="L5" s="652"/>
      <c r="M5" s="652"/>
      <c r="N5" s="652"/>
      <c r="O5" s="10" t="s">
        <v>646</v>
      </c>
      <c r="P5" s="10"/>
      <c r="Q5" s="10"/>
      <c r="R5" s="653">
        <v>5</v>
      </c>
    </row>
    <row r="6" spans="1:18" ht="31.5">
      <c r="A6" s="651" t="s">
        <v>647</v>
      </c>
      <c r="B6" s="652"/>
      <c r="C6" s="652"/>
      <c r="D6" s="652"/>
      <c r="E6" s="652"/>
      <c r="F6" s="652"/>
      <c r="G6" s="652"/>
      <c r="H6" s="652"/>
      <c r="I6" s="652"/>
      <c r="J6" s="652"/>
      <c r="K6" s="652"/>
      <c r="L6" s="652"/>
      <c r="M6" s="652"/>
      <c r="N6" s="652"/>
    </row>
    <row r="7" spans="1:18" ht="16.5" thickBot="1"/>
    <row r="8" spans="1:18" ht="15" customHeight="1">
      <c r="A8" s="654"/>
      <c r="B8" s="1998" t="s">
        <v>648</v>
      </c>
      <c r="C8" s="1999"/>
      <c r="D8" s="1998" t="s">
        <v>649</v>
      </c>
      <c r="E8" s="1999"/>
      <c r="F8" s="1998" t="s">
        <v>650</v>
      </c>
      <c r="G8" s="1999"/>
      <c r="H8" s="655" t="s">
        <v>651</v>
      </c>
      <c r="I8" s="655" t="s">
        <v>652</v>
      </c>
      <c r="J8" s="2000" t="s">
        <v>653</v>
      </c>
      <c r="K8" s="656"/>
      <c r="L8" s="2002" t="s">
        <v>654</v>
      </c>
      <c r="M8" s="1996" t="s">
        <v>655</v>
      </c>
      <c r="O8" s="1996" t="s">
        <v>656</v>
      </c>
      <c r="P8" s="1996" t="s">
        <v>657</v>
      </c>
      <c r="R8" s="1996" t="s">
        <v>694</v>
      </c>
    </row>
    <row r="9" spans="1:18" ht="15" customHeight="1">
      <c r="A9" s="657" t="s">
        <v>658</v>
      </c>
      <c r="B9" s="658" t="s">
        <v>659</v>
      </c>
      <c r="C9" s="659" t="s">
        <v>660</v>
      </c>
      <c r="D9" s="658" t="s">
        <v>661</v>
      </c>
      <c r="E9" s="659" t="s">
        <v>662</v>
      </c>
      <c r="F9" s="658" t="s">
        <v>663</v>
      </c>
      <c r="G9" s="659" t="s">
        <v>664</v>
      </c>
      <c r="H9" s="660" t="s">
        <v>405</v>
      </c>
      <c r="I9" s="660" t="s">
        <v>405</v>
      </c>
      <c r="J9" s="2001"/>
      <c r="K9" s="661" t="s">
        <v>665</v>
      </c>
      <c r="L9" s="2003"/>
      <c r="M9" s="2004"/>
      <c r="O9" s="1997"/>
      <c r="P9" s="1997"/>
      <c r="R9" s="1997"/>
    </row>
    <row r="10" spans="1:18">
      <c r="A10" s="662" t="s">
        <v>666</v>
      </c>
      <c r="B10" s="663"/>
      <c r="C10" s="663"/>
      <c r="D10" s="663"/>
      <c r="E10" s="663"/>
      <c r="F10" s="663"/>
      <c r="G10" s="663"/>
      <c r="H10" s="663"/>
      <c r="I10" s="663"/>
      <c r="J10" s="663"/>
      <c r="K10" s="663"/>
      <c r="L10" s="663"/>
      <c r="M10" s="663"/>
      <c r="O10" s="663"/>
      <c r="P10" s="663"/>
      <c r="R10" s="663"/>
    </row>
    <row r="11" spans="1:18">
      <c r="A11" s="662" t="s">
        <v>667</v>
      </c>
      <c r="B11" s="664">
        <v>114390.2243</v>
      </c>
      <c r="C11" s="664">
        <v>107406</v>
      </c>
      <c r="D11" s="664">
        <v>34994.056900000003</v>
      </c>
      <c r="E11" s="664">
        <v>45490.592138738131</v>
      </c>
      <c r="F11" s="664">
        <v>162220.80329999997</v>
      </c>
      <c r="G11" s="664">
        <v>186273.5</v>
      </c>
      <c r="H11" s="664">
        <v>311605.0845</v>
      </c>
      <c r="I11" s="664">
        <v>339170.09213873814</v>
      </c>
      <c r="J11" s="665">
        <v>-8.1271928974983476E-2</v>
      </c>
      <c r="K11" s="664">
        <v>0</v>
      </c>
      <c r="L11" s="666">
        <v>108430.8722</v>
      </c>
      <c r="M11" s="667">
        <v>420035.95670000004</v>
      </c>
      <c r="O11" s="667">
        <f>F11-G11</f>
        <v>-24052.69670000003</v>
      </c>
      <c r="P11" s="667">
        <f>O11*R$5</f>
        <v>-120263.48350000015</v>
      </c>
      <c r="R11" s="667">
        <f>0</f>
        <v>0</v>
      </c>
    </row>
    <row r="12" spans="1:18">
      <c r="A12" s="668"/>
      <c r="B12" s="669"/>
      <c r="C12" s="670"/>
      <c r="D12" s="669"/>
      <c r="E12" s="670"/>
      <c r="F12" s="669"/>
      <c r="G12" s="670"/>
      <c r="H12" s="670"/>
      <c r="I12" s="671"/>
      <c r="J12" s="672"/>
      <c r="K12" s="673"/>
      <c r="L12" s="670"/>
      <c r="M12" s="674"/>
      <c r="O12" s="674"/>
      <c r="P12" s="674"/>
      <c r="R12" s="674"/>
    </row>
    <row r="13" spans="1:18">
      <c r="A13" s="675" t="s">
        <v>668</v>
      </c>
      <c r="B13" s="676"/>
      <c r="C13" s="676"/>
      <c r="D13" s="676"/>
      <c r="E13" s="676"/>
      <c r="F13" s="676"/>
      <c r="G13" s="676"/>
      <c r="H13" s="676"/>
      <c r="I13" s="676"/>
      <c r="J13" s="676"/>
      <c r="K13" s="676"/>
      <c r="L13" s="676"/>
      <c r="M13" s="676"/>
      <c r="O13" s="676"/>
      <c r="P13" s="676"/>
      <c r="R13" s="676"/>
    </row>
    <row r="14" spans="1:18">
      <c r="A14" s="677" t="s">
        <v>669</v>
      </c>
      <c r="B14" s="678">
        <v>16487.25</v>
      </c>
      <c r="C14" s="679">
        <v>23887</v>
      </c>
      <c r="D14" s="680">
        <v>2813</v>
      </c>
      <c r="E14" s="679">
        <v>0</v>
      </c>
      <c r="F14" s="681">
        <v>0</v>
      </c>
      <c r="G14" s="679">
        <v>4448.5</v>
      </c>
      <c r="H14" s="682">
        <v>19300.25</v>
      </c>
      <c r="I14" s="683">
        <v>28335.5</v>
      </c>
      <c r="J14" s="684">
        <v>-0.31886679253939409</v>
      </c>
      <c r="K14" s="685">
        <v>0</v>
      </c>
      <c r="L14" s="679">
        <v>7441.52</v>
      </c>
      <c r="M14" s="686">
        <v>26741.77</v>
      </c>
      <c r="O14" s="686">
        <f>F14-G14</f>
        <v>-4448.5</v>
      </c>
      <c r="P14" s="686">
        <f>O14*R$5</f>
        <v>-22242.5</v>
      </c>
      <c r="R14" s="667">
        <f>0</f>
        <v>0</v>
      </c>
    </row>
    <row r="15" spans="1:18">
      <c r="A15" s="668"/>
      <c r="B15" s="669"/>
      <c r="C15" s="670"/>
      <c r="D15" s="669"/>
      <c r="E15" s="670"/>
      <c r="F15" s="669"/>
      <c r="G15" s="670"/>
      <c r="H15" s="670"/>
      <c r="I15" s="671"/>
      <c r="J15" s="672"/>
      <c r="K15" s="673"/>
      <c r="L15" s="670"/>
      <c r="M15" s="674"/>
      <c r="O15" s="674"/>
      <c r="P15" s="674"/>
      <c r="R15" s="674"/>
    </row>
    <row r="16" spans="1:18">
      <c r="A16" s="687" t="s">
        <v>670</v>
      </c>
      <c r="B16" s="688"/>
      <c r="C16" s="688"/>
      <c r="D16" s="688"/>
      <c r="E16" s="688"/>
      <c r="F16" s="688"/>
      <c r="G16" s="688"/>
      <c r="H16" s="688"/>
      <c r="I16" s="688"/>
      <c r="J16" s="688"/>
      <c r="K16" s="688"/>
      <c r="L16" s="688"/>
      <c r="M16" s="688"/>
      <c r="O16" s="688"/>
      <c r="P16" s="688"/>
      <c r="R16" s="688"/>
    </row>
    <row r="17" spans="1:18">
      <c r="A17" s="689" t="s">
        <v>671</v>
      </c>
      <c r="B17" s="690">
        <v>16687</v>
      </c>
      <c r="C17" s="690">
        <v>15345</v>
      </c>
      <c r="D17" s="690">
        <v>1315</v>
      </c>
      <c r="E17" s="690">
        <v>472.24813432835816</v>
      </c>
      <c r="F17" s="690">
        <v>0</v>
      </c>
      <c r="G17" s="690">
        <v>5145</v>
      </c>
      <c r="H17" s="690">
        <v>18002</v>
      </c>
      <c r="I17" s="690">
        <v>20962.248134328358</v>
      </c>
      <c r="J17" s="691">
        <v>-0.14121806570358142</v>
      </c>
      <c r="K17" s="692">
        <v>0</v>
      </c>
      <c r="L17" s="693">
        <v>4585</v>
      </c>
      <c r="M17" s="694">
        <v>22587</v>
      </c>
      <c r="O17" s="694">
        <f>F17-G17</f>
        <v>-5145</v>
      </c>
      <c r="P17" s="694">
        <f>O17*R$5</f>
        <v>-25725</v>
      </c>
      <c r="R17" s="667">
        <f>0</f>
        <v>0</v>
      </c>
    </row>
    <row r="18" spans="1:18">
      <c r="A18" s="668"/>
      <c r="B18" s="669"/>
      <c r="C18" s="670"/>
      <c r="D18" s="669"/>
      <c r="E18" s="670"/>
      <c r="F18" s="669"/>
      <c r="G18" s="670"/>
      <c r="H18" s="670"/>
      <c r="I18" s="671"/>
      <c r="J18" s="672"/>
      <c r="K18" s="673"/>
      <c r="L18" s="670"/>
      <c r="M18" s="674"/>
      <c r="O18" s="674"/>
      <c r="P18" s="674"/>
      <c r="R18" s="674"/>
    </row>
    <row r="19" spans="1:18">
      <c r="A19" s="695" t="s">
        <v>672</v>
      </c>
      <c r="B19" s="696"/>
      <c r="C19" s="696"/>
      <c r="D19" s="696"/>
      <c r="E19" s="696"/>
      <c r="F19" s="696"/>
      <c r="G19" s="696"/>
      <c r="H19" s="696"/>
      <c r="I19" s="696"/>
      <c r="J19" s="696"/>
      <c r="K19" s="696"/>
      <c r="L19" s="696"/>
      <c r="M19" s="696"/>
      <c r="O19" s="696"/>
      <c r="P19" s="696"/>
      <c r="R19" s="696"/>
    </row>
    <row r="20" spans="1:18">
      <c r="A20" s="697" t="s">
        <v>673</v>
      </c>
      <c r="B20" s="698">
        <v>104167.5098</v>
      </c>
      <c r="C20" s="698">
        <v>85765.5</v>
      </c>
      <c r="D20" s="698">
        <v>52452.338100000001</v>
      </c>
      <c r="E20" s="698">
        <v>54928.969131614649</v>
      </c>
      <c r="F20" s="698">
        <v>63419.772799999999</v>
      </c>
      <c r="G20" s="698">
        <v>144965</v>
      </c>
      <c r="H20" s="698">
        <v>220039.6207</v>
      </c>
      <c r="I20" s="698">
        <v>285659.46913161466</v>
      </c>
      <c r="J20" s="699">
        <v>-0.22971354190041215</v>
      </c>
      <c r="K20" s="698">
        <v>146.35130000000001</v>
      </c>
      <c r="L20" s="698">
        <v>66010.582599999994</v>
      </c>
      <c r="M20" s="700">
        <v>286196.55460000003</v>
      </c>
      <c r="O20" s="700">
        <f>F20-G20</f>
        <v>-81545.227199999994</v>
      </c>
      <c r="P20" s="700">
        <f>O20*R$5</f>
        <v>-407726.13599999994</v>
      </c>
      <c r="R20" s="667">
        <f>0</f>
        <v>0</v>
      </c>
    </row>
    <row r="21" spans="1:18">
      <c r="A21" s="668"/>
      <c r="B21" s="669"/>
      <c r="C21" s="670"/>
      <c r="D21" s="669"/>
      <c r="E21" s="670"/>
      <c r="F21" s="669"/>
      <c r="G21" s="670"/>
      <c r="H21" s="670"/>
      <c r="I21" s="671"/>
      <c r="J21" s="672"/>
      <c r="K21" s="673"/>
      <c r="L21" s="670"/>
      <c r="M21" s="674"/>
      <c r="O21" s="674"/>
      <c r="P21" s="674"/>
      <c r="R21" s="674"/>
    </row>
    <row r="22" spans="1:18">
      <c r="A22" s="701" t="s">
        <v>674</v>
      </c>
      <c r="B22" s="702"/>
      <c r="C22" s="702"/>
      <c r="D22" s="702"/>
      <c r="E22" s="702"/>
      <c r="F22" s="702"/>
      <c r="G22" s="702"/>
      <c r="H22" s="702"/>
      <c r="I22" s="702"/>
      <c r="J22" s="702"/>
      <c r="K22" s="702"/>
      <c r="L22" s="702"/>
      <c r="M22" s="702"/>
      <c r="O22" s="702"/>
      <c r="P22" s="702"/>
      <c r="R22" s="702"/>
    </row>
    <row r="23" spans="1:18">
      <c r="A23" s="701" t="s">
        <v>675</v>
      </c>
      <c r="B23" s="703">
        <v>14971.5</v>
      </c>
      <c r="C23" s="703">
        <v>42571.25</v>
      </c>
      <c r="D23" s="703">
        <v>12459</v>
      </c>
      <c r="E23" s="703">
        <v>13863.583361601086</v>
      </c>
      <c r="F23" s="703">
        <v>53424</v>
      </c>
      <c r="G23" s="703">
        <v>74417.5</v>
      </c>
      <c r="H23" s="703">
        <v>105414.5</v>
      </c>
      <c r="I23" s="703">
        <v>130852.33336160108</v>
      </c>
      <c r="J23" s="704">
        <v>-0.19440106804443025</v>
      </c>
      <c r="K23" s="703">
        <v>0</v>
      </c>
      <c r="L23" s="703">
        <v>44965.599999999999</v>
      </c>
      <c r="M23" s="705">
        <v>150380.1</v>
      </c>
      <c r="O23" s="705">
        <f>F23-G23</f>
        <v>-20993.5</v>
      </c>
      <c r="P23" s="705">
        <f>O23*R$5</f>
        <v>-104967.5</v>
      </c>
      <c r="R23" s="667">
        <f>0</f>
        <v>0</v>
      </c>
    </row>
    <row r="24" spans="1:18">
      <c r="A24" s="706"/>
      <c r="B24" s="707"/>
      <c r="C24" s="707"/>
      <c r="D24" s="707"/>
      <c r="E24" s="707"/>
      <c r="F24" s="707"/>
      <c r="G24" s="707"/>
      <c r="H24" s="707"/>
      <c r="I24" s="707"/>
      <c r="J24" s="707"/>
      <c r="K24" s="707"/>
      <c r="L24" s="707"/>
      <c r="M24" s="707"/>
      <c r="O24" s="707"/>
      <c r="P24" s="707"/>
      <c r="R24" s="707"/>
    </row>
    <row r="25" spans="1:18">
      <c r="A25" s="708" t="s">
        <v>676</v>
      </c>
      <c r="B25" s="709"/>
      <c r="C25" s="709"/>
      <c r="D25" s="709"/>
      <c r="E25" s="709"/>
      <c r="F25" s="709"/>
      <c r="G25" s="709"/>
      <c r="H25" s="709"/>
      <c r="I25" s="709"/>
      <c r="J25" s="709"/>
      <c r="K25" s="709"/>
      <c r="L25" s="709"/>
      <c r="M25" s="709"/>
      <c r="O25" s="709"/>
      <c r="P25" s="709"/>
      <c r="R25" s="709"/>
    </row>
    <row r="26" spans="1:18">
      <c r="A26" s="710" t="s">
        <v>677</v>
      </c>
      <c r="B26" s="711">
        <v>50252.142500000002</v>
      </c>
      <c r="C26" s="711">
        <v>59589.5</v>
      </c>
      <c r="D26" s="711">
        <v>18979.125</v>
      </c>
      <c r="E26" s="711">
        <v>30667.26912313432</v>
      </c>
      <c r="F26" s="711">
        <v>16714.655299999999</v>
      </c>
      <c r="G26" s="711">
        <v>42091</v>
      </c>
      <c r="H26" s="711">
        <v>85945.9228</v>
      </c>
      <c r="I26" s="711">
        <v>132347.76912313432</v>
      </c>
      <c r="J26" s="712">
        <v>-0.35060542864128486</v>
      </c>
      <c r="K26" s="711">
        <v>0</v>
      </c>
      <c r="L26" s="711">
        <v>111131.30170000001</v>
      </c>
      <c r="M26" s="713">
        <v>197077.22449999998</v>
      </c>
      <c r="O26" s="713">
        <f>F26-G26</f>
        <v>-25376.344700000001</v>
      </c>
      <c r="P26" s="713">
        <f>O26*R$5</f>
        <v>-126881.72350000001</v>
      </c>
      <c r="R26" s="667">
        <f>0</f>
        <v>0</v>
      </c>
    </row>
    <row r="27" spans="1:18">
      <c r="A27" s="714"/>
      <c r="B27" s="715"/>
      <c r="C27" s="715"/>
      <c r="D27" s="715"/>
      <c r="E27" s="715"/>
      <c r="F27" s="715"/>
      <c r="G27" s="715"/>
      <c r="H27" s="715"/>
      <c r="I27" s="715"/>
      <c r="J27" s="716"/>
      <c r="K27" s="715"/>
      <c r="L27" s="715"/>
      <c r="M27" s="715"/>
      <c r="O27" s="715"/>
      <c r="P27" s="715"/>
      <c r="R27" s="715"/>
    </row>
    <row r="28" spans="1:18">
      <c r="A28" s="717" t="s">
        <v>678</v>
      </c>
      <c r="B28" s="718"/>
      <c r="C28" s="718"/>
      <c r="D28" s="718"/>
      <c r="E28" s="718"/>
      <c r="F28" s="718"/>
      <c r="G28" s="718"/>
      <c r="H28" s="718"/>
      <c r="I28" s="718"/>
      <c r="J28" s="718"/>
      <c r="K28" s="718"/>
      <c r="L28" s="718"/>
      <c r="M28" s="718"/>
      <c r="O28" s="718"/>
      <c r="P28" s="718"/>
      <c r="R28" s="718"/>
    </row>
    <row r="29" spans="1:18">
      <c r="A29" s="719" t="s">
        <v>679</v>
      </c>
      <c r="B29" s="720">
        <v>59032.596000000005</v>
      </c>
      <c r="C29" s="720">
        <v>71094.25</v>
      </c>
      <c r="D29" s="720">
        <v>35376.195999999996</v>
      </c>
      <c r="E29" s="720">
        <v>6195.5139077340573</v>
      </c>
      <c r="F29" s="720">
        <v>2610</v>
      </c>
      <c r="G29" s="721">
        <v>26525.25</v>
      </c>
      <c r="H29" s="721">
        <v>97018.791999999987</v>
      </c>
      <c r="I29" s="721">
        <v>103815.01390773406</v>
      </c>
      <c r="J29" s="722">
        <v>-6.5464730503954183E-2</v>
      </c>
      <c r="K29" s="721">
        <v>21</v>
      </c>
      <c r="L29" s="721">
        <v>35834.008300000001</v>
      </c>
      <c r="M29" s="723">
        <v>132873.8003</v>
      </c>
      <c r="O29" s="723">
        <f>F29-G29</f>
        <v>-23915.25</v>
      </c>
      <c r="P29" s="723">
        <f>O29*R$5</f>
        <v>-119576.25</v>
      </c>
      <c r="R29" s="667">
        <f>0</f>
        <v>0</v>
      </c>
    </row>
    <row r="30" spans="1:18">
      <c r="A30" s="668"/>
      <c r="B30" s="669"/>
      <c r="C30" s="670"/>
      <c r="D30" s="669"/>
      <c r="E30" s="670"/>
      <c r="F30" s="669"/>
      <c r="G30" s="670"/>
      <c r="H30" s="670"/>
      <c r="I30" s="671"/>
      <c r="J30" s="672"/>
      <c r="K30" s="673"/>
      <c r="L30" s="670"/>
      <c r="M30" s="674"/>
      <c r="O30" s="674"/>
      <c r="P30" s="674"/>
      <c r="R30" s="674"/>
    </row>
    <row r="31" spans="1:18">
      <c r="A31" s="724" t="s">
        <v>680</v>
      </c>
      <c r="B31" s="725"/>
      <c r="C31" s="725"/>
      <c r="D31" s="725"/>
      <c r="E31" s="725"/>
      <c r="F31" s="725"/>
      <c r="G31" s="725"/>
      <c r="H31" s="725"/>
      <c r="I31" s="725"/>
      <c r="J31" s="725"/>
      <c r="K31" s="725"/>
      <c r="L31" s="725"/>
      <c r="M31" s="725"/>
      <c r="O31" s="725"/>
      <c r="P31" s="725"/>
      <c r="R31" s="725"/>
    </row>
    <row r="32" spans="1:18">
      <c r="A32" s="726" t="s">
        <v>681</v>
      </c>
      <c r="B32" s="727">
        <v>47172.862300000001</v>
      </c>
      <c r="C32" s="727">
        <v>48077.25</v>
      </c>
      <c r="D32" s="727">
        <v>10356.656800000001</v>
      </c>
      <c r="E32" s="727">
        <v>14936.50356173677</v>
      </c>
      <c r="F32" s="727">
        <v>46689.627499999995</v>
      </c>
      <c r="G32" s="727">
        <v>106145</v>
      </c>
      <c r="H32" s="727">
        <v>104219.14660000001</v>
      </c>
      <c r="I32" s="727">
        <v>169158.75356173678</v>
      </c>
      <c r="J32" s="728">
        <v>-0.3838974075795385</v>
      </c>
      <c r="K32" s="727">
        <v>526</v>
      </c>
      <c r="L32" s="727">
        <v>25041.861700000001</v>
      </c>
      <c r="M32" s="727">
        <v>129787.0083</v>
      </c>
      <c r="O32" s="727">
        <f>F32-G32</f>
        <v>-59455.372500000005</v>
      </c>
      <c r="P32" s="727">
        <f>O32*R$5</f>
        <v>-297276.86250000005</v>
      </c>
      <c r="R32" s="667">
        <f>0</f>
        <v>0</v>
      </c>
    </row>
    <row r="33" spans="1:18">
      <c r="A33" s="706"/>
      <c r="B33" s="707"/>
      <c r="C33" s="707"/>
      <c r="D33" s="707"/>
      <c r="E33" s="707"/>
      <c r="F33" s="707"/>
      <c r="G33" s="707"/>
      <c r="H33" s="707"/>
      <c r="I33" s="707"/>
      <c r="J33" s="707"/>
      <c r="K33" s="707"/>
      <c r="L33" s="707"/>
      <c r="M33" s="707"/>
      <c r="O33" s="707"/>
      <c r="P33" s="707"/>
      <c r="R33" s="707"/>
    </row>
    <row r="34" spans="1:18">
      <c r="A34" s="729" t="s">
        <v>682</v>
      </c>
      <c r="B34" s="730"/>
      <c r="C34" s="730"/>
      <c r="D34" s="730"/>
      <c r="E34" s="730"/>
      <c r="F34" s="730"/>
      <c r="G34" s="730"/>
      <c r="H34" s="730"/>
      <c r="I34" s="730"/>
      <c r="J34" s="730"/>
      <c r="K34" s="730"/>
      <c r="L34" s="730"/>
      <c r="M34" s="730"/>
      <c r="O34" s="730"/>
      <c r="P34" s="730"/>
      <c r="R34" s="730"/>
    </row>
    <row r="35" spans="1:18">
      <c r="A35" s="731" t="s">
        <v>683</v>
      </c>
      <c r="B35" s="678">
        <v>7264.04</v>
      </c>
      <c r="C35" s="679">
        <v>15397.750000000002</v>
      </c>
      <c r="D35" s="680">
        <v>2422</v>
      </c>
      <c r="E35" s="679">
        <v>12650.41977611939</v>
      </c>
      <c r="F35" s="680">
        <v>17210.394700000001</v>
      </c>
      <c r="G35" s="679">
        <v>28315.000000000004</v>
      </c>
      <c r="H35" s="732">
        <v>26896.434700000002</v>
      </c>
      <c r="I35" s="733">
        <v>56363.169776119394</v>
      </c>
      <c r="J35" s="734">
        <v>-0.52280124047608489</v>
      </c>
      <c r="K35" s="685">
        <v>49</v>
      </c>
      <c r="L35" s="679">
        <v>2460</v>
      </c>
      <c r="M35" s="686">
        <v>29405.434700000002</v>
      </c>
      <c r="O35" s="686">
        <f>F35-G35</f>
        <v>-11104.605300000003</v>
      </c>
      <c r="P35" s="686">
        <f>O35*R$5</f>
        <v>-55523.026500000014</v>
      </c>
      <c r="R35" s="667">
        <f>0</f>
        <v>0</v>
      </c>
    </row>
    <row r="36" spans="1:18">
      <c r="A36" s="706"/>
      <c r="B36" s="707"/>
      <c r="C36" s="707"/>
      <c r="D36" s="707"/>
      <c r="E36" s="707"/>
      <c r="F36" s="707"/>
      <c r="G36" s="707"/>
      <c r="H36" s="707"/>
      <c r="I36" s="707"/>
      <c r="J36" s="707"/>
      <c r="K36" s="707"/>
      <c r="L36" s="707"/>
      <c r="M36" s="707"/>
      <c r="O36" s="707"/>
      <c r="P36" s="707"/>
      <c r="R36" s="707"/>
    </row>
    <row r="37" spans="1:18">
      <c r="A37" s="735" t="s">
        <v>684</v>
      </c>
      <c r="B37" s="736"/>
      <c r="C37" s="736"/>
      <c r="D37" s="736"/>
      <c r="E37" s="736"/>
      <c r="F37" s="736"/>
      <c r="G37" s="736"/>
      <c r="H37" s="736"/>
      <c r="I37" s="736"/>
      <c r="J37" s="736"/>
      <c r="K37" s="736"/>
      <c r="L37" s="736"/>
      <c r="M37" s="736"/>
      <c r="O37" s="736"/>
      <c r="P37" s="736"/>
      <c r="R37" s="736"/>
    </row>
    <row r="38" spans="1:18">
      <c r="A38" s="737" t="s">
        <v>685</v>
      </c>
      <c r="B38" s="738">
        <v>82006.090300000011</v>
      </c>
      <c r="C38" s="738">
        <v>64635.25</v>
      </c>
      <c r="D38" s="738">
        <v>57964.2497</v>
      </c>
      <c r="E38" s="738">
        <v>110256.39734565807</v>
      </c>
      <c r="F38" s="738">
        <v>160316.85129999998</v>
      </c>
      <c r="G38" s="739">
        <v>120758.25</v>
      </c>
      <c r="H38" s="739">
        <v>300287.19129999995</v>
      </c>
      <c r="I38" s="739">
        <v>295649.89734565804</v>
      </c>
      <c r="J38" s="740">
        <v>1.5685085623149186E-2</v>
      </c>
      <c r="K38" s="739">
        <v>42.84</v>
      </c>
      <c r="L38" s="739">
        <v>51246.244900000005</v>
      </c>
      <c r="M38" s="741">
        <v>351576.27620000002</v>
      </c>
      <c r="O38" s="741">
        <f>F38-G38</f>
        <v>39558.60129999998</v>
      </c>
      <c r="P38" s="741">
        <f>O38*R$5</f>
        <v>197793.0064999999</v>
      </c>
      <c r="R38" s="667">
        <f>0</f>
        <v>0</v>
      </c>
    </row>
    <row r="39" spans="1:18">
      <c r="A39" s="706"/>
      <c r="B39" s="707"/>
      <c r="C39" s="707"/>
      <c r="D39" s="707"/>
      <c r="E39" s="707"/>
      <c r="F39" s="707"/>
      <c r="G39" s="707"/>
      <c r="H39" s="707"/>
      <c r="I39" s="707"/>
      <c r="J39" s="707"/>
      <c r="K39" s="707"/>
      <c r="L39" s="707"/>
      <c r="M39" s="707"/>
      <c r="O39" s="707"/>
      <c r="P39" s="707"/>
      <c r="R39" s="707"/>
    </row>
    <row r="40" spans="1:18">
      <c r="A40" s="742" t="s">
        <v>686</v>
      </c>
      <c r="B40" s="743"/>
      <c r="C40" s="743"/>
      <c r="D40" s="743"/>
      <c r="E40" s="743"/>
      <c r="F40" s="743"/>
      <c r="G40" s="743"/>
      <c r="H40" s="743"/>
      <c r="I40" s="743"/>
      <c r="J40" s="743"/>
      <c r="K40" s="743"/>
      <c r="L40" s="743"/>
      <c r="M40" s="743"/>
      <c r="O40" s="743"/>
      <c r="P40" s="743"/>
      <c r="R40" s="743"/>
    </row>
    <row r="41" spans="1:18">
      <c r="A41" s="744" t="s">
        <v>687</v>
      </c>
      <c r="B41" s="745">
        <v>20699</v>
      </c>
      <c r="C41" s="746">
        <v>27043.500000000004</v>
      </c>
      <c r="D41" s="747">
        <v>17042</v>
      </c>
      <c r="E41" s="746">
        <v>22248.134328358203</v>
      </c>
      <c r="F41" s="747">
        <v>22460</v>
      </c>
      <c r="G41" s="746">
        <v>31045</v>
      </c>
      <c r="H41" s="748">
        <v>60201</v>
      </c>
      <c r="I41" s="749">
        <v>80336.63432835821</v>
      </c>
      <c r="J41" s="750">
        <v>-0.25064075059527968</v>
      </c>
      <c r="K41" s="751">
        <v>0</v>
      </c>
      <c r="L41" s="746">
        <v>21508</v>
      </c>
      <c r="M41" s="752">
        <v>81709</v>
      </c>
      <c r="O41" s="752">
        <f>F41-G41</f>
        <v>-8585</v>
      </c>
      <c r="P41" s="752">
        <f>O41*R$5</f>
        <v>-42925</v>
      </c>
      <c r="R41" s="667">
        <f>0</f>
        <v>0</v>
      </c>
    </row>
    <row r="42" spans="1:18">
      <c r="A42" s="706"/>
      <c r="B42" s="707"/>
      <c r="C42" s="707"/>
      <c r="D42" s="707"/>
      <c r="E42" s="707"/>
      <c r="F42" s="707"/>
      <c r="G42" s="707"/>
      <c r="H42" s="707"/>
      <c r="I42" s="753"/>
      <c r="J42" s="707"/>
      <c r="K42" s="707"/>
      <c r="L42" s="707"/>
      <c r="M42" s="707"/>
      <c r="O42" s="707"/>
      <c r="P42" s="707"/>
      <c r="R42" s="707"/>
    </row>
    <row r="43" spans="1:18">
      <c r="A43" s="754" t="s">
        <v>688</v>
      </c>
      <c r="B43" s="755">
        <v>592162.8112</v>
      </c>
      <c r="C43" s="755">
        <v>631906.5</v>
      </c>
      <c r="D43" s="755">
        <v>281549.81849999994</v>
      </c>
      <c r="E43" s="755">
        <v>317905.14471675712</v>
      </c>
      <c r="F43" s="755">
        <v>547676.10489999992</v>
      </c>
      <c r="G43" s="755">
        <v>796654.25</v>
      </c>
      <c r="H43" s="755">
        <v>1421388.7345999999</v>
      </c>
      <c r="I43" s="755">
        <v>1746465.8947167571</v>
      </c>
      <c r="J43" s="756">
        <v>-0.18613427327733678</v>
      </c>
      <c r="K43" s="757">
        <v>806.19130000000007</v>
      </c>
      <c r="L43" s="755">
        <v>514488.99969999993</v>
      </c>
      <c r="M43" s="755">
        <v>1961243.9256</v>
      </c>
      <c r="O43" s="755">
        <f>SUM(O11:O41)</f>
        <v>-225062.89510000002</v>
      </c>
      <c r="P43" s="755">
        <f>SUM(P11:P41)</f>
        <v>-1125314.4755000002</v>
      </c>
      <c r="R43" s="755">
        <f>SUM(R11:R41)</f>
        <v>0</v>
      </c>
    </row>
    <row r="44" spans="1:18">
      <c r="A44" s="758"/>
      <c r="B44" s="715"/>
      <c r="C44" s="715"/>
      <c r="D44" s="715"/>
      <c r="E44" s="715"/>
      <c r="F44" s="715"/>
      <c r="G44" s="715"/>
      <c r="H44" s="715"/>
      <c r="I44" s="715"/>
      <c r="J44" s="759"/>
      <c r="K44" s="715"/>
      <c r="L44" s="715"/>
      <c r="M44" s="715"/>
    </row>
    <row r="45" spans="1:18">
      <c r="A45" s="760"/>
      <c r="B45" s="761"/>
      <c r="C45" s="761">
        <v>39743.688800000004</v>
      </c>
      <c r="D45" s="761"/>
      <c r="E45" s="761">
        <v>36355.326216757181</v>
      </c>
      <c r="F45" s="761"/>
      <c r="G45" s="761">
        <v>248978.14510000008</v>
      </c>
      <c r="H45" s="761"/>
      <c r="I45" s="761">
        <v>325077.16011675727</v>
      </c>
      <c r="J45" s="759"/>
      <c r="K45" s="761"/>
      <c r="L45" s="761"/>
      <c r="M45" s="761"/>
    </row>
    <row r="46" spans="1:18">
      <c r="A46" s="760"/>
      <c r="B46" s="761"/>
      <c r="C46" s="762">
        <v>0.12225924696070727</v>
      </c>
      <c r="D46" s="761"/>
      <c r="E46" s="762">
        <v>0.11183599058051177</v>
      </c>
      <c r="F46" s="761"/>
      <c r="G46" s="762">
        <v>0.76590476245878092</v>
      </c>
      <c r="H46" s="761"/>
      <c r="I46" s="761">
        <v>455108.02416346013</v>
      </c>
      <c r="J46" s="759"/>
      <c r="K46" s="761"/>
      <c r="L46" s="761"/>
      <c r="M46" s="761"/>
    </row>
    <row r="47" spans="1:18">
      <c r="A47" s="763" t="s">
        <v>689</v>
      </c>
      <c r="B47" s="707"/>
      <c r="C47" s="707"/>
      <c r="D47" s="707"/>
      <c r="E47" s="707"/>
      <c r="F47" s="707"/>
      <c r="G47" s="707"/>
      <c r="H47" s="707"/>
      <c r="I47" s="764"/>
      <c r="J47" s="707"/>
      <c r="K47" s="707"/>
      <c r="L47" s="707"/>
      <c r="M47" s="707"/>
    </row>
    <row r="48" spans="1:18">
      <c r="A48" s="763" t="s">
        <v>690</v>
      </c>
      <c r="B48" s="707"/>
      <c r="C48" s="707"/>
      <c r="D48" s="707"/>
      <c r="E48" s="707"/>
      <c r="F48" s="707"/>
      <c r="G48" s="707"/>
      <c r="H48" s="707"/>
      <c r="I48" s="707"/>
      <c r="J48" s="707"/>
      <c r="K48" s="707"/>
      <c r="L48" s="707"/>
      <c r="M48" s="707"/>
    </row>
    <row r="49" spans="1:13">
      <c r="A49" s="763" t="s">
        <v>691</v>
      </c>
      <c r="B49" s="707"/>
      <c r="C49" s="707"/>
      <c r="D49" s="707"/>
      <c r="E49" s="707"/>
      <c r="F49" s="707"/>
      <c r="G49" s="707"/>
      <c r="H49" s="707"/>
      <c r="I49" s="707"/>
      <c r="J49" s="707"/>
      <c r="K49" s="707"/>
      <c r="L49" s="707"/>
      <c r="M49" s="707"/>
    </row>
    <row r="50" spans="1:13">
      <c r="A50" s="707"/>
      <c r="B50" s="707"/>
      <c r="C50" s="707"/>
      <c r="D50" s="707"/>
      <c r="E50" s="707"/>
      <c r="F50" s="707"/>
      <c r="G50" s="707"/>
      <c r="H50" s="707"/>
      <c r="I50" s="707"/>
      <c r="J50" s="707"/>
      <c r="K50" s="707"/>
      <c r="L50" s="707"/>
      <c r="M50" s="707"/>
    </row>
    <row r="51" spans="1:13">
      <c r="A51" s="765"/>
      <c r="B51" s="766"/>
      <c r="C51" s="767"/>
      <c r="D51" s="768"/>
      <c r="E51" s="753"/>
      <c r="F51" s="768"/>
      <c r="G51" s="707"/>
      <c r="H51" s="707"/>
      <c r="I51" s="707"/>
      <c r="J51" s="707"/>
      <c r="K51" s="707"/>
      <c r="L51" s="707"/>
      <c r="M51" s="707"/>
    </row>
    <row r="52" spans="1:13">
      <c r="A52" s="765"/>
      <c r="B52" s="707"/>
      <c r="C52" s="707"/>
      <c r="D52" s="707"/>
      <c r="E52" s="707"/>
      <c r="F52" s="707"/>
      <c r="G52" s="707"/>
      <c r="H52" s="707"/>
      <c r="I52" s="707"/>
      <c r="J52" s="707"/>
      <c r="K52" s="707"/>
      <c r="L52" s="707"/>
      <c r="M52" s="707"/>
    </row>
    <row r="53" spans="1:13">
      <c r="A53" s="707"/>
      <c r="B53" s="707"/>
      <c r="C53" s="707"/>
      <c r="D53" s="707"/>
      <c r="E53" s="707"/>
      <c r="F53" s="707"/>
      <c r="G53" s="707"/>
      <c r="H53" s="707"/>
      <c r="I53" s="707"/>
      <c r="J53" s="707"/>
      <c r="K53" s="707"/>
      <c r="L53" s="707"/>
      <c r="M53" s="707"/>
    </row>
    <row r="54" spans="1:13">
      <c r="A54" s="707"/>
      <c r="B54" s="707"/>
      <c r="C54" s="707"/>
      <c r="D54" s="707"/>
      <c r="E54" s="707"/>
      <c r="F54" s="707"/>
      <c r="G54" s="707"/>
      <c r="H54" s="707"/>
      <c r="I54" s="707"/>
      <c r="J54" s="707"/>
      <c r="K54" s="707"/>
      <c r="L54" s="707"/>
      <c r="M54" s="707"/>
    </row>
    <row r="55" spans="1:13">
      <c r="A55" s="707"/>
      <c r="B55" s="707"/>
      <c r="C55" s="707"/>
      <c r="D55" s="707"/>
      <c r="E55" s="707"/>
      <c r="F55" s="707"/>
      <c r="G55" s="707"/>
      <c r="H55" s="707"/>
      <c r="I55" s="707"/>
      <c r="J55" s="707"/>
      <c r="K55" s="707"/>
      <c r="L55" s="707"/>
      <c r="M55" s="707"/>
    </row>
    <row r="56" spans="1:13">
      <c r="A56" s="707"/>
      <c r="B56" s="707"/>
      <c r="C56" s="707"/>
      <c r="D56" s="707"/>
      <c r="E56" s="707"/>
      <c r="F56" s="707"/>
      <c r="G56" s="707"/>
      <c r="H56" s="707"/>
      <c r="I56" s="707"/>
      <c r="J56" s="707"/>
      <c r="K56" s="707"/>
      <c r="L56" s="707"/>
      <c r="M56" s="707"/>
    </row>
    <row r="57" spans="1:13">
      <c r="A57" s="707"/>
      <c r="B57" s="707"/>
      <c r="C57" s="707"/>
      <c r="D57" s="707"/>
      <c r="E57" s="707"/>
      <c r="F57" s="707"/>
      <c r="G57" s="707"/>
      <c r="H57" s="707"/>
      <c r="I57" s="707"/>
      <c r="J57" s="707"/>
      <c r="K57" s="707"/>
      <c r="L57" s="707"/>
      <c r="M57" s="707"/>
    </row>
    <row r="58" spans="1:13">
      <c r="A58" s="707"/>
      <c r="B58" s="707"/>
      <c r="C58" s="707"/>
      <c r="D58" s="707"/>
      <c r="E58" s="707"/>
      <c r="F58" s="707"/>
      <c r="G58" s="707"/>
      <c r="H58" s="707"/>
      <c r="I58" s="707"/>
      <c r="J58" s="707"/>
      <c r="K58" s="707"/>
      <c r="L58" s="707"/>
      <c r="M58" s="707"/>
    </row>
    <row r="59" spans="1:13">
      <c r="A59" s="707"/>
      <c r="B59" s="707"/>
      <c r="C59" s="707"/>
      <c r="D59" s="707"/>
      <c r="E59" s="707"/>
      <c r="F59" s="707"/>
      <c r="G59" s="707"/>
      <c r="H59" s="707"/>
      <c r="I59" s="707"/>
      <c r="J59" s="707"/>
      <c r="K59" s="707"/>
      <c r="L59" s="707"/>
      <c r="M59" s="707"/>
    </row>
    <row r="60" spans="1:13">
      <c r="A60" s="707"/>
      <c r="B60" s="707"/>
      <c r="C60" s="707"/>
      <c r="D60" s="707"/>
      <c r="E60" s="707"/>
      <c r="F60" s="707"/>
      <c r="G60" s="707"/>
      <c r="H60" s="707"/>
      <c r="I60" s="707"/>
      <c r="J60" s="707"/>
      <c r="K60" s="707"/>
      <c r="L60" s="707"/>
      <c r="M60" s="707"/>
    </row>
  </sheetData>
  <mergeCells count="9">
    <mergeCell ref="O8:O9"/>
    <mergeCell ref="P8:P9"/>
    <mergeCell ref="R8:R9"/>
    <mergeCell ref="B8:C8"/>
    <mergeCell ref="D8:E8"/>
    <mergeCell ref="F8:G8"/>
    <mergeCell ref="J8:J9"/>
    <mergeCell ref="L8:L9"/>
    <mergeCell ref="M8:M9"/>
  </mergeCells>
  <pageMargins left="0.75" right="0.75" top="1" bottom="1" header="0.5" footer="0.5"/>
  <pageSetup orientation="portrait" horizontalDpi="4294967292" verticalDpi="4294967292"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3"/>
  <sheetViews>
    <sheetView workbookViewId="0">
      <selection activeCell="B49" sqref="B49"/>
    </sheetView>
  </sheetViews>
  <sheetFormatPr defaultColWidth="11" defaultRowHeight="15.75"/>
  <cols>
    <col min="1" max="1" width="33.625" customWidth="1"/>
    <col min="2" max="2" width="14.375" customWidth="1"/>
    <col min="3" max="3" width="11.5" customWidth="1"/>
    <col min="4" max="4" width="13.125" customWidth="1"/>
    <col min="5" max="5" width="11.625" customWidth="1"/>
    <col min="7" max="7" width="23.5" customWidth="1"/>
  </cols>
  <sheetData>
    <row r="1" spans="1:7" ht="18.75">
      <c r="A1" s="899" t="s">
        <v>306</v>
      </c>
      <c r="B1" s="900"/>
      <c r="C1" s="900"/>
      <c r="D1" s="900"/>
      <c r="E1" s="900"/>
      <c r="G1" t="s">
        <v>1361</v>
      </c>
    </row>
    <row r="3" spans="1:7">
      <c r="A3" s="822" t="s">
        <v>746</v>
      </c>
      <c r="B3" s="210"/>
      <c r="C3" s="210"/>
      <c r="D3" s="210"/>
      <c r="E3" s="210"/>
    </row>
    <row r="4" spans="1:7">
      <c r="A4" s="809" t="s">
        <v>742</v>
      </c>
      <c r="B4" s="1935" t="s">
        <v>716</v>
      </c>
      <c r="C4" s="1935"/>
      <c r="D4" s="1935" t="s">
        <v>717</v>
      </c>
      <c r="E4" s="1935"/>
    </row>
    <row r="5" spans="1:7">
      <c r="A5" s="795" t="s">
        <v>402</v>
      </c>
      <c r="B5" s="803"/>
      <c r="C5" s="276"/>
      <c r="D5" s="803"/>
      <c r="E5" s="276"/>
    </row>
    <row r="6" spans="1:7">
      <c r="A6" s="827" t="s">
        <v>718</v>
      </c>
      <c r="B6" s="797">
        <f>'Foundation SCH'!K59/3</f>
        <v>270232.72749999998</v>
      </c>
      <c r="C6" s="804">
        <f t="shared" ref="C6:C11" si="0">B6/B$12</f>
        <v>0.21066921267028726</v>
      </c>
      <c r="D6" s="797">
        <f>('Foundation SCH'!G82+'Foundation SCH'!V16)/3</f>
        <v>391974.33333333331</v>
      </c>
      <c r="E6" s="804">
        <f t="shared" ref="E6:E11" si="1">D6/D$12</f>
        <v>0.34199456379168841</v>
      </c>
    </row>
    <row r="7" spans="1:7">
      <c r="A7" s="827" t="s">
        <v>719</v>
      </c>
      <c r="B7" s="797">
        <f>'Foundation SCH'!L59/3</f>
        <v>77853.722999999984</v>
      </c>
      <c r="C7" s="804">
        <f t="shared" si="0"/>
        <v>6.0693546187371522E-2</v>
      </c>
      <c r="D7" s="797">
        <f>'Foundation SCH'!H82/3</f>
        <v>78518</v>
      </c>
      <c r="E7" s="804">
        <f t="shared" si="1"/>
        <v>6.8506345636055566E-2</v>
      </c>
    </row>
    <row r="8" spans="1:7">
      <c r="A8" s="827" t="s">
        <v>720</v>
      </c>
      <c r="B8" s="797">
        <f>'Foundation SCH'!M59/3</f>
        <v>24166.588999999996</v>
      </c>
      <c r="C8" s="804">
        <f t="shared" si="0"/>
        <v>1.8839895243837276E-2</v>
      </c>
      <c r="D8" s="797">
        <f>'Foundation SCH'!I82/3</f>
        <v>12324.333333333334</v>
      </c>
      <c r="E8" s="804">
        <f t="shared" si="1"/>
        <v>1.07528851864196E-2</v>
      </c>
    </row>
    <row r="9" spans="1:7">
      <c r="A9" s="827" t="s">
        <v>252</v>
      </c>
      <c r="B9" s="797">
        <f>'Undergrad Completions'!M35/3</f>
        <v>296034.52358916571</v>
      </c>
      <c r="C9" s="804">
        <f t="shared" si="0"/>
        <v>0.23078388981494896</v>
      </c>
      <c r="D9" s="797">
        <f>('Undergrad Completions'!T35+'Undergrad Completions'!U35+'Undergrad Completions'!V35)/3</f>
        <v>242237.66666666666</v>
      </c>
      <c r="E9" s="804">
        <f t="shared" si="1"/>
        <v>0.21135048420410965</v>
      </c>
    </row>
    <row r="10" spans="1:7">
      <c r="A10" s="827" t="s">
        <v>160</v>
      </c>
      <c r="B10" s="797">
        <f>'Graduate Completions'!M106/3</f>
        <v>312950.2232364185</v>
      </c>
      <c r="C10" s="804">
        <f t="shared" si="0"/>
        <v>0.24397110499581118</v>
      </c>
      <c r="D10" s="797">
        <f>('Graduate Completions'!T106+'Graduate Completions'!U106+'Graduate Completions'!V105+'Graduate Completions'!V106)/3</f>
        <v>119590.66666666667</v>
      </c>
      <c r="E10" s="804">
        <f t="shared" si="1"/>
        <v>0.10434192854521226</v>
      </c>
    </row>
    <row r="11" spans="1:7">
      <c r="A11" s="827" t="s">
        <v>978</v>
      </c>
      <c r="B11" s="797">
        <v>301497</v>
      </c>
      <c r="C11" s="804">
        <f t="shared" si="0"/>
        <v>0.23504235108774382</v>
      </c>
      <c r="D11" s="797">
        <f>B11</f>
        <v>301497</v>
      </c>
      <c r="E11" s="804">
        <f t="shared" si="1"/>
        <v>0.26305379263651452</v>
      </c>
    </row>
    <row r="12" spans="1:7">
      <c r="A12" s="191"/>
      <c r="B12" s="810">
        <f>SUM(B6:B11)</f>
        <v>1282734.7863255842</v>
      </c>
      <c r="C12" s="811">
        <f>SUM(C6:C11)</f>
        <v>1</v>
      </c>
      <c r="D12" s="810">
        <f>SUM(D6:D11)</f>
        <v>1146142</v>
      </c>
      <c r="E12" s="811">
        <f>SUM(E6:E11)</f>
        <v>1</v>
      </c>
    </row>
    <row r="13" spans="1:7">
      <c r="A13" s="795"/>
      <c r="B13" s="797"/>
      <c r="C13" s="806"/>
      <c r="D13" s="276"/>
      <c r="E13" s="805"/>
    </row>
    <row r="14" spans="1:7">
      <c r="A14" s="812" t="s">
        <v>743</v>
      </c>
      <c r="B14" s="813"/>
      <c r="C14" s="814">
        <f>(B6+B7+B8)/B12</f>
        <v>0.29020265410149604</v>
      </c>
      <c r="D14" s="812"/>
      <c r="E14" s="814">
        <f>(D6+D7+D8)/D12</f>
        <v>0.42125379461416351</v>
      </c>
    </row>
    <row r="15" spans="1:7">
      <c r="A15" s="796" t="s">
        <v>744</v>
      </c>
      <c r="B15" s="805"/>
      <c r="C15" s="815">
        <f>(B6+B7+B9+0.9*B11)/B12</f>
        <v>0.71368476465157726</v>
      </c>
      <c r="D15" s="805"/>
      <c r="E15" s="815">
        <f>(D6+D7+D9+0.9*D11)/D12</f>
        <v>0.85859980700471672</v>
      </c>
    </row>
    <row r="16" spans="1:7">
      <c r="A16" s="816" t="s">
        <v>745</v>
      </c>
      <c r="B16" s="817"/>
      <c r="C16" s="818">
        <f>(B8+B10+0.1*B11)/B12</f>
        <v>0.28631523534842285</v>
      </c>
      <c r="D16" s="817"/>
      <c r="E16" s="818">
        <f>(D8+D10+0.1*D11)/D12</f>
        <v>0.14140019299528331</v>
      </c>
    </row>
    <row r="17" spans="1:7">
      <c r="A17" s="1"/>
      <c r="B17" s="1"/>
      <c r="C17" s="1"/>
      <c r="D17" s="1"/>
      <c r="E17" s="1"/>
    </row>
    <row r="18" spans="1:7">
      <c r="A18" s="809"/>
      <c r="B18" s="1935" t="s">
        <v>716</v>
      </c>
      <c r="C18" s="1935"/>
      <c r="D18" s="1935" t="s">
        <v>717</v>
      </c>
      <c r="E18" s="1935"/>
    </row>
    <row r="19" spans="1:7">
      <c r="A19" s="275" t="s">
        <v>721</v>
      </c>
      <c r="B19" s="807">
        <f>'Undergrad Completions'!M60/3</f>
        <v>6920.6391823645126</v>
      </c>
      <c r="C19" s="288">
        <f>B19/(B19+B20)</f>
        <v>0.68082929627382527</v>
      </c>
      <c r="D19" s="808">
        <f>('Undergrad Completions'!V60+'Undergrad Completions'!U60+'Undergrad Completions'!T60)/3</f>
        <v>5020.333333333333</v>
      </c>
      <c r="E19" s="288">
        <f>D19/(D19+D20)</f>
        <v>0.78446794103859574</v>
      </c>
    </row>
    <row r="20" spans="1:7">
      <c r="A20" s="819" t="s">
        <v>722</v>
      </c>
      <c r="B20" s="820">
        <f>('Graduate Completions'!M35+'Graduate Completions'!M60+'Graduate Completions'!M83)/3</f>
        <v>3244.3746033834418</v>
      </c>
      <c r="C20" s="821">
        <f>(1-C19)</f>
        <v>0.31917070372617473</v>
      </c>
      <c r="D20" s="820">
        <f>('Graduate Completions'!T35+'Graduate Completions'!U35+'Graduate Completions'!V35+'Graduate Completions'!T60+'Graduate Completions'!U60+'Graduate Completions'!V60+'Graduate Completions'!T83+'Graduate Completions'!U83+'Graduate Completions'!V83)/3</f>
        <v>1379.3333333333333</v>
      </c>
      <c r="E20" s="821">
        <f>(1-E19)</f>
        <v>0.21553205896140426</v>
      </c>
    </row>
    <row r="21" spans="1:7">
      <c r="A21" s="1"/>
      <c r="B21" s="1"/>
      <c r="C21" s="1"/>
      <c r="D21" s="1"/>
      <c r="E21" s="1"/>
    </row>
    <row r="22" spans="1:7">
      <c r="A22" s="1"/>
      <c r="B22" s="1"/>
      <c r="C22" s="1"/>
      <c r="D22" s="1"/>
      <c r="E22" s="1"/>
    </row>
    <row r="23" spans="1:7">
      <c r="A23" s="826" t="s">
        <v>747</v>
      </c>
      <c r="B23" s="823"/>
      <c r="C23" s="824"/>
      <c r="D23" s="824"/>
      <c r="E23" s="825"/>
    </row>
    <row r="24" spans="1:7" ht="16.5" thickBot="1">
      <c r="A24" s="798"/>
      <c r="B24" s="799"/>
      <c r="C24" s="800" t="s">
        <v>735</v>
      </c>
      <c r="D24" s="800" t="s">
        <v>736</v>
      </c>
      <c r="E24" s="1"/>
    </row>
    <row r="25" spans="1:7" ht="16.5" thickTop="1">
      <c r="A25" s="795" t="s">
        <v>729</v>
      </c>
      <c r="B25" s="797">
        <f>'Step 0 FY20 Revenue'!Q27+'Step 0 FY20 Revenue'!Q28+'Step 0 FY20 Revenue'!Q33+0.94*'Step 0 FY20 Revenue'!R39+0.83*('Step 0 FY20 Revenue'!L47+'Step 0 FY20 Revenue'!L48)</f>
        <v>202148776.77312124</v>
      </c>
      <c r="C25" s="288">
        <f t="shared" ref="C25:C35" si="2">B25/B$36</f>
        <v>0.3383717545040108</v>
      </c>
      <c r="D25" s="288">
        <f t="shared" ref="D25:D32" si="3">B25/B$37</f>
        <v>0.38915608818848224</v>
      </c>
      <c r="E25" s="1"/>
    </row>
    <row r="26" spans="1:7">
      <c r="A26" s="795" t="s">
        <v>730</v>
      </c>
      <c r="B26" s="797">
        <f>'Step 0 FY20 Revenue'!Q29+'Step 0 FY20 Revenue'!Q30+0.15*('Step 0 FY20 Revenue'!L47+'Step 0 FY20 Revenue'!L48)+0.06*'Step 0 FY20 Revenue'!R39</f>
        <v>40743986.570075333</v>
      </c>
      <c r="C26" s="288">
        <f t="shared" si="2"/>
        <v>6.8200334631148676E-2</v>
      </c>
      <c r="D26" s="288">
        <f t="shared" si="3"/>
        <v>7.8436143339170775E-2</v>
      </c>
      <c r="E26" s="1"/>
    </row>
    <row r="27" spans="1:7">
      <c r="A27" s="795" t="s">
        <v>731</v>
      </c>
      <c r="B27" s="797">
        <f>'Step 0 FY20 Revenue'!Q31+'Step 0 FY20 Revenue'!Q32+0.02*('Step 0 FY20 Revenue'!L47+'Step 0 FY20 Revenue'!L48)</f>
        <v>20353444.219327997</v>
      </c>
      <c r="C27" s="288">
        <f t="shared" si="2"/>
        <v>3.4069118500890512E-2</v>
      </c>
      <c r="D27" s="288">
        <f t="shared" si="3"/>
        <v>3.9182362911084082E-2</v>
      </c>
      <c r="E27" s="1"/>
    </row>
    <row r="28" spans="1:7">
      <c r="A28" s="795" t="s">
        <v>723</v>
      </c>
      <c r="B28" s="797">
        <f>0.95*('Step 0 FY20 Revenue'!Q35+'Step 0 FY20 Revenue'!Q36+'Step 0 FY20 Revenue'!Q37)</f>
        <v>117759967.608</v>
      </c>
      <c r="C28" s="288">
        <f t="shared" si="2"/>
        <v>0.19711544875968132</v>
      </c>
      <c r="D28" s="288">
        <f t="shared" si="3"/>
        <v>0.2266994095688491</v>
      </c>
      <c r="E28" s="1"/>
    </row>
    <row r="29" spans="1:7">
      <c r="A29" s="795" t="s">
        <v>724</v>
      </c>
      <c r="B29" s="797">
        <f>0.05*('Step 0 FY20 Revenue'!Q35+'Step 0 FY20 Revenue'!Q36+'Step 0 FY20 Revenue'!Q37)</f>
        <v>6197893.0320000006</v>
      </c>
      <c r="C29" s="288">
        <f t="shared" si="2"/>
        <v>1.0374497303141123E-2</v>
      </c>
      <c r="D29" s="288">
        <f t="shared" si="3"/>
        <v>1.1931547872044691E-2</v>
      </c>
      <c r="E29" s="1"/>
    </row>
    <row r="30" spans="1:7">
      <c r="A30" s="795" t="s">
        <v>726</v>
      </c>
      <c r="B30" s="797">
        <f>0.77*('Step 0 FY20 Revenue'!L6+'Step 0 FY20 Revenue'!L7+'Step 0 FY20 Revenue'!L8+'Step 0 FY20 Revenue'!L9)+'Step 0 FY20 Revenue'!L22+'Step 0 FY20 Revenue'!L25</f>
        <v>92925579.00500001</v>
      </c>
      <c r="C30" s="288">
        <f t="shared" si="2"/>
        <v>0.15554579012621461</v>
      </c>
      <c r="D30" s="288">
        <f t="shared" si="3"/>
        <v>0.17889079219520621</v>
      </c>
      <c r="E30" s="1"/>
    </row>
    <row r="31" spans="1:7">
      <c r="A31" s="795" t="s">
        <v>725</v>
      </c>
      <c r="B31" s="797">
        <f>0.23*('Step 0 FY20 Revenue'!I6+'Step 0 FY20 Revenue'!I7+'Step 0 FY20 Revenue'!I8+'Step 0 FY20 Revenue'!I9)+'Step 0 FY20 Revenue'!L17+'Step 0 FY20 Revenue'!L13+'Step 0 FY20 Revenue'!L14</f>
        <v>33383239.82</v>
      </c>
      <c r="C31" s="288">
        <f t="shared" si="2"/>
        <v>5.5879365728734531E-2</v>
      </c>
      <c r="D31" s="288">
        <f t="shared" si="3"/>
        <v>6.4265988777116173E-2</v>
      </c>
      <c r="E31" s="1"/>
    </row>
    <row r="32" spans="1:7">
      <c r="A32" s="796" t="s">
        <v>733</v>
      </c>
      <c r="B32" s="797">
        <f>'Step 0 FY20 Revenue'!L11+'Step 0 FY20 Revenue'!L16+'Step 0 FY20 Revenue'!L19+'Step 0 FY20 Revenue'!L21+'Step 0 FY20 Revenue'!L20</f>
        <v>5941344.6000000006</v>
      </c>
      <c r="C32" s="288">
        <f t="shared" si="2"/>
        <v>9.9450673336067483E-3</v>
      </c>
      <c r="D32" s="288">
        <f t="shared" si="3"/>
        <v>1.1437667148046742E-2</v>
      </c>
      <c r="E32" s="1"/>
      <c r="G32" s="12"/>
    </row>
    <row r="33" spans="1:7">
      <c r="A33" s="796" t="s">
        <v>734</v>
      </c>
      <c r="B33" s="797">
        <f>'Step 0 FY20 Revenue'!L37-'Allocation by Category'!B32-'Allocation by Category'!B31-'Allocation by Category'!B30</f>
        <v>6504411.0000000149</v>
      </c>
      <c r="C33" s="288">
        <f t="shared" si="2"/>
        <v>1.0887570022525295E-2</v>
      </c>
      <c r="D33" s="288"/>
      <c r="E33" s="1"/>
    </row>
    <row r="34" spans="1:7">
      <c r="A34" s="796" t="s">
        <v>67</v>
      </c>
      <c r="B34" s="797">
        <f>'Step 0 FY20 Revenue'!L51+'Step 0 FY20 Revenue'!L52</f>
        <v>43860000</v>
      </c>
      <c r="C34" s="288">
        <f t="shared" si="2"/>
        <v>7.3416151160798165E-2</v>
      </c>
      <c r="D34" s="288"/>
      <c r="E34" s="1"/>
      <c r="G34" s="12"/>
    </row>
    <row r="35" spans="1:7">
      <c r="A35" s="796" t="s">
        <v>727</v>
      </c>
      <c r="B35" s="797">
        <f>SUM('Step 0 FY20 Revenue'!L53,'Step 0 FY20 Revenue'!L54,'Step 0 FY20 Revenue'!L55,'Step 0 FY20 Revenue'!L56)</f>
        <v>27597584</v>
      </c>
      <c r="C35" s="288">
        <f t="shared" si="2"/>
        <v>4.6194901929248175E-2</v>
      </c>
      <c r="D35" s="288"/>
      <c r="E35" s="1"/>
    </row>
    <row r="36" spans="1:7">
      <c r="A36" s="17"/>
      <c r="B36" s="801">
        <f>SUM(B25:B35)</f>
        <v>597416226.62752461</v>
      </c>
      <c r="C36" s="802">
        <f>SUM(C25:C35)</f>
        <v>0.99999999999999989</v>
      </c>
      <c r="D36" s="802">
        <f>SUM(D25:D35)</f>
        <v>1</v>
      </c>
      <c r="E36" s="1"/>
    </row>
    <row r="37" spans="1:7">
      <c r="A37" s="796" t="s">
        <v>737</v>
      </c>
      <c r="B37" s="8">
        <f>B25+B26+B27+B28+B29+B30+B31+B32</f>
        <v>519454231.62752455</v>
      </c>
      <c r="C37" s="1"/>
      <c r="D37" s="1"/>
      <c r="E37" s="1"/>
    </row>
    <row r="38" spans="1:7">
      <c r="A38" s="1"/>
      <c r="B38" s="1"/>
      <c r="C38" s="1"/>
      <c r="D38" s="1"/>
      <c r="E38" s="1"/>
    </row>
    <row r="39" spans="1:7">
      <c r="A39" s="796" t="s">
        <v>1328</v>
      </c>
      <c r="B39" s="1"/>
      <c r="C39" s="1"/>
      <c r="D39" s="1"/>
      <c r="E39" s="1"/>
    </row>
    <row r="40" spans="1:7">
      <c r="A40" s="796" t="s">
        <v>728</v>
      </c>
      <c r="B40" s="1"/>
      <c r="C40" s="1"/>
      <c r="D40" s="1"/>
      <c r="E40" s="1"/>
    </row>
    <row r="41" spans="1:7">
      <c r="A41" s="796" t="s">
        <v>732</v>
      </c>
      <c r="B41" s="1"/>
      <c r="C41" s="1"/>
      <c r="D41" s="1"/>
      <c r="E41" s="1"/>
    </row>
    <row r="42" spans="1:7">
      <c r="A42" s="1"/>
      <c r="B42" s="8"/>
      <c r="C42" s="1"/>
      <c r="D42" s="1"/>
      <c r="E42" s="1"/>
    </row>
    <row r="43" spans="1:7">
      <c r="A43" s="833" t="s">
        <v>738</v>
      </c>
      <c r="B43" s="834">
        <f>B25+B28+B30</f>
        <v>412834323.38612121</v>
      </c>
      <c r="C43" s="835">
        <f>B43/B$47</f>
        <v>0.69103299338990665</v>
      </c>
      <c r="D43" s="835">
        <f>B43/B$48</f>
        <v>0.79474628995253738</v>
      </c>
      <c r="E43" s="1"/>
    </row>
    <row r="44" spans="1:7">
      <c r="A44" s="796" t="s">
        <v>739</v>
      </c>
      <c r="B44" s="836">
        <f>B26+B27+B29+B31</f>
        <v>100678563.64140335</v>
      </c>
      <c r="C44" s="837">
        <f>B44/B$47</f>
        <v>0.16852331616391486</v>
      </c>
      <c r="D44" s="837">
        <f>B44/B$48</f>
        <v>0.19381604289941573</v>
      </c>
      <c r="E44" s="1"/>
    </row>
    <row r="45" spans="1:7">
      <c r="A45" s="796" t="s">
        <v>740</v>
      </c>
      <c r="B45" s="836">
        <f>B32</f>
        <v>5941344.6000000006</v>
      </c>
      <c r="C45" s="837">
        <f>B45/B$47</f>
        <v>9.9450673336067483E-3</v>
      </c>
      <c r="D45" s="837">
        <f>B45/B$48</f>
        <v>1.143766714804674E-2</v>
      </c>
      <c r="E45" s="1"/>
    </row>
    <row r="46" spans="1:7">
      <c r="A46" s="816" t="s">
        <v>741</v>
      </c>
      <c r="B46" s="624">
        <f>B33+B34+B35</f>
        <v>77961995.000000015</v>
      </c>
      <c r="C46" s="821">
        <f>B46/B$47</f>
        <v>0.13049862311257163</v>
      </c>
      <c r="D46" s="821"/>
      <c r="E46" s="1"/>
    </row>
    <row r="47" spans="1:7">
      <c r="A47" s="17"/>
      <c r="B47" s="801">
        <f>SUM(B43:B46)</f>
        <v>597416226.62752461</v>
      </c>
      <c r="C47" s="802">
        <f>SUM(C43:C46)</f>
        <v>0.99999999999999989</v>
      </c>
      <c r="D47" s="802">
        <f>SUM(D43:D46)</f>
        <v>0.99999999999999978</v>
      </c>
      <c r="E47" s="1"/>
    </row>
    <row r="48" spans="1:7">
      <c r="A48" s="796" t="s">
        <v>737</v>
      </c>
      <c r="B48" s="8">
        <f>B43+B44+B45</f>
        <v>519454231.62752461</v>
      </c>
      <c r="C48" s="1"/>
      <c r="D48" s="1"/>
      <c r="E48" s="1"/>
    </row>
    <row r="52" spans="1:5">
      <c r="A52" s="826" t="s">
        <v>748</v>
      </c>
      <c r="B52" s="823"/>
      <c r="C52" s="824"/>
    </row>
    <row r="53" spans="1:5" ht="16.5" thickBot="1">
      <c r="A53" s="798"/>
      <c r="B53" s="799"/>
      <c r="C53" s="800" t="s">
        <v>735</v>
      </c>
    </row>
    <row r="54" spans="1:5" ht="16.5" thickTop="1">
      <c r="A54" s="795" t="s">
        <v>749</v>
      </c>
      <c r="B54" s="797"/>
      <c r="C54" s="288"/>
    </row>
    <row r="55" spans="1:5">
      <c r="A55" s="827" t="s">
        <v>750</v>
      </c>
      <c r="B55" s="797">
        <f>'Foundation SCH'!K60*'Dashboard-Academic Allocation'!D20</f>
        <v>50845596.96358528</v>
      </c>
      <c r="C55" s="288">
        <f t="shared" ref="C55:C65" si="4">B55/B$66</f>
        <v>0.23052220225510281</v>
      </c>
      <c r="D55" s="1"/>
      <c r="E55" s="1"/>
    </row>
    <row r="56" spans="1:5">
      <c r="A56" s="827" t="s">
        <v>751</v>
      </c>
      <c r="B56" s="797">
        <f>'Foundation SCH'!L60*'Dashboard-Academic Allocation'!D20</f>
        <v>14648555.185724534</v>
      </c>
      <c r="C56" s="288">
        <f t="shared" si="4"/>
        <v>6.6413168551979901E-2</v>
      </c>
    </row>
    <row r="57" spans="1:5">
      <c r="A57" s="828" t="s">
        <v>111</v>
      </c>
      <c r="B57" s="797">
        <f>'Foundation SCH'!M60*'Dashboard-Academic Allocation'!D20</f>
        <v>4547060.8080903664</v>
      </c>
      <c r="C57" s="288">
        <f t="shared" si="4"/>
        <v>2.0615324312537032E-2</v>
      </c>
    </row>
    <row r="58" spans="1:5">
      <c r="A58" s="828" t="s">
        <v>755</v>
      </c>
      <c r="B58" s="797">
        <f>'Dashboard-Academic Allocation'!D23+'Dashboard-Academic Allocation'!D39</f>
        <v>1591845.7490318224</v>
      </c>
      <c r="C58" s="288">
        <f t="shared" si="4"/>
        <v>7.2170612527186311E-3</v>
      </c>
    </row>
    <row r="59" spans="1:5">
      <c r="A59" s="796" t="s">
        <v>752</v>
      </c>
      <c r="B59" s="797">
        <f>'Dashboard-Academic Allocation'!D24+'Dashboard-Academic Allocation'!D25</f>
        <v>41387989.474827379</v>
      </c>
      <c r="C59" s="288">
        <f t="shared" si="4"/>
        <v>0.18764359257068439</v>
      </c>
    </row>
    <row r="60" spans="1:5">
      <c r="A60" s="796" t="s">
        <v>254</v>
      </c>
      <c r="B60" s="797">
        <f>'Dashboard-Academic Allocation'!D26+'Dashboard-Academic Allocation'!D27</f>
        <v>31836914.980636448</v>
      </c>
      <c r="C60" s="288">
        <f t="shared" si="4"/>
        <v>0.14434122505437263</v>
      </c>
    </row>
    <row r="61" spans="1:5">
      <c r="A61" s="796" t="s">
        <v>753</v>
      </c>
      <c r="B61" s="797">
        <f>'Dashboard-Academic Allocation'!D28+0.9*'Dashboard-Academic Allocation'!D30</f>
        <v>53074615.693149813</v>
      </c>
      <c r="C61" s="288">
        <f t="shared" si="4"/>
        <v>0.24062805875188245</v>
      </c>
    </row>
    <row r="62" spans="1:5">
      <c r="A62" s="796" t="s">
        <v>754</v>
      </c>
      <c r="B62" s="797">
        <f>0.1*'Dashboard-Academic Allocation'!D30+'Dashboard-Academic Allocation'!D29</f>
        <v>8307837.0746859983</v>
      </c>
      <c r="C62" s="288">
        <f t="shared" si="4"/>
        <v>3.7665815976254492E-2</v>
      </c>
    </row>
    <row r="63" spans="1:5">
      <c r="A63" s="796" t="s">
        <v>398</v>
      </c>
      <c r="B63" s="797">
        <f>'Dashboard-Academic Allocation'!D32</f>
        <v>7959228.7451591119</v>
      </c>
      <c r="C63" s="288">
        <f t="shared" si="4"/>
        <v>3.6085306263593159E-2</v>
      </c>
    </row>
    <row r="64" spans="1:5">
      <c r="A64" s="796" t="s">
        <v>756</v>
      </c>
      <c r="B64" s="797">
        <f>'Strategic Populations'!T3*'Dashboard-Academic Allocation'!D33</f>
        <v>5034373.8747126954</v>
      </c>
      <c r="C64" s="288">
        <f t="shared" si="4"/>
        <v>2.2824689292279925E-2</v>
      </c>
    </row>
    <row r="65" spans="1:3">
      <c r="A65" s="796" t="s">
        <v>757</v>
      </c>
      <c r="B65" s="797">
        <f>'Dashboard-Academic Allocation'!D33*'Strategic Populations'!T4</f>
        <v>1333009.1214145944</v>
      </c>
      <c r="C65" s="288">
        <f t="shared" si="4"/>
        <v>6.0435557185945996E-3</v>
      </c>
    </row>
    <row r="66" spans="1:3">
      <c r="A66" s="209"/>
      <c r="B66" s="831">
        <f>SUM(B55:B65)</f>
        <v>220567027.67101803</v>
      </c>
      <c r="C66" s="832">
        <f>SUM(C55:C65)</f>
        <v>1</v>
      </c>
    </row>
    <row r="68" spans="1:3">
      <c r="A68" s="833" t="s">
        <v>760</v>
      </c>
      <c r="B68" s="14"/>
      <c r="C68" s="838">
        <f>C55+C56+C57+C58</f>
        <v>0.3247677563723384</v>
      </c>
    </row>
    <row r="69" spans="1:3">
      <c r="A69" s="57"/>
      <c r="B69" s="57"/>
      <c r="C69" s="57"/>
    </row>
    <row r="70" spans="1:3">
      <c r="A70" s="796" t="s">
        <v>761</v>
      </c>
      <c r="B70" s="57"/>
      <c r="C70" s="309">
        <f>C55+C56+C59+C61+C64+C58</f>
        <v>0.75524877267464796</v>
      </c>
    </row>
    <row r="71" spans="1:3">
      <c r="A71" s="796" t="s">
        <v>762</v>
      </c>
      <c r="B71" s="57"/>
      <c r="C71" s="309">
        <f>C57+C60+C62+C65</f>
        <v>0.20866592106175877</v>
      </c>
    </row>
    <row r="72" spans="1:3">
      <c r="A72" s="816" t="s">
        <v>763</v>
      </c>
      <c r="B72" s="15"/>
      <c r="C72" s="839">
        <f>C63</f>
        <v>3.6085306263593159E-2</v>
      </c>
    </row>
    <row r="73" spans="1:3">
      <c r="C73" s="16">
        <f>SUM(C70:C72)</f>
        <v>0.99999999999999989</v>
      </c>
    </row>
  </sheetData>
  <mergeCells count="4">
    <mergeCell ref="D4:E4"/>
    <mergeCell ref="B4:C4"/>
    <mergeCell ref="B18:C18"/>
    <mergeCell ref="D18:E18"/>
  </mergeCell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58"/>
  <sheetViews>
    <sheetView workbookViewId="0">
      <selection activeCell="E10" sqref="E10:E11"/>
    </sheetView>
  </sheetViews>
  <sheetFormatPr defaultColWidth="11" defaultRowHeight="15.75"/>
  <cols>
    <col min="1" max="1" width="43" customWidth="1"/>
    <col min="2" max="2" width="17.625" customWidth="1"/>
    <col min="3" max="3" width="14.375" customWidth="1"/>
    <col min="4" max="4" width="27.125" customWidth="1"/>
    <col min="5" max="8" width="14.5" customWidth="1"/>
    <col min="10" max="10" width="33.375" customWidth="1"/>
    <col min="11" max="11" width="14.125" bestFit="1" customWidth="1"/>
    <col min="13" max="13" width="12.5" bestFit="1" customWidth="1"/>
    <col min="15" max="15" width="9.5" customWidth="1"/>
    <col min="16" max="16" width="11.5" bestFit="1" customWidth="1"/>
  </cols>
  <sheetData>
    <row r="1" spans="1:15" ht="18.75">
      <c r="A1" s="899" t="s">
        <v>1322</v>
      </c>
      <c r="B1" s="900"/>
      <c r="C1" s="900"/>
      <c r="D1" s="900"/>
      <c r="E1" s="900"/>
      <c r="F1" s="900"/>
      <c r="G1" s="900"/>
    </row>
    <row r="2" spans="1:15">
      <c r="A2" s="380"/>
      <c r="B2" s="380"/>
      <c r="C2" s="380"/>
    </row>
    <row r="3" spans="1:15">
      <c r="A3" s="193" t="s">
        <v>272</v>
      </c>
      <c r="B3" s="380"/>
      <c r="C3" s="380"/>
      <c r="D3" s="209" t="s">
        <v>769</v>
      </c>
      <c r="E3" s="849" t="s">
        <v>771</v>
      </c>
      <c r="F3" s="849" t="s">
        <v>401</v>
      </c>
      <c r="G3" s="849" t="s">
        <v>250</v>
      </c>
    </row>
    <row r="4" spans="1:15">
      <c r="A4" s="875" t="s">
        <v>273</v>
      </c>
      <c r="B4" s="874">
        <f>'Step 0 FY20 Revenue'!L59-'Step 0 FY20 Revenue'!L45</f>
        <v>641727969.57626891</v>
      </c>
      <c r="C4" s="380"/>
      <c r="O4" s="1"/>
    </row>
    <row r="5" spans="1:15">
      <c r="A5" s="875" t="s">
        <v>274</v>
      </c>
      <c r="B5" s="874">
        <f>'Step 0 FY20 Revenue'!L45</f>
        <v>-44311743</v>
      </c>
      <c r="C5" s="380"/>
      <c r="D5" s="10" t="s">
        <v>1327</v>
      </c>
      <c r="O5" s="8"/>
    </row>
    <row r="6" spans="1:15">
      <c r="A6" s="875" t="s">
        <v>275</v>
      </c>
      <c r="B6" s="874">
        <f>B4+B5</f>
        <v>597416226.57626891</v>
      </c>
      <c r="C6" s="380"/>
      <c r="D6" s="344" t="s">
        <v>110</v>
      </c>
      <c r="E6" s="1324">
        <f>0.8*B42*F6+0.8*G6*B50</f>
        <v>45183678.480000004</v>
      </c>
      <c r="F6" s="848">
        <v>253798</v>
      </c>
      <c r="G6" s="848">
        <v>40739</v>
      </c>
      <c r="O6" s="1"/>
    </row>
    <row r="7" spans="1:15">
      <c r="A7" s="847"/>
      <c r="B7" s="847"/>
      <c r="C7" s="380"/>
      <c r="D7" s="344" t="s">
        <v>111</v>
      </c>
      <c r="E7" s="1324">
        <f>0.8*(F7*B46+G7*B54)</f>
        <v>7072658.6399999997</v>
      </c>
      <c r="F7" s="848">
        <v>13331</v>
      </c>
      <c r="G7" s="848">
        <v>8193</v>
      </c>
      <c r="O7" s="1"/>
    </row>
    <row r="8" spans="1:15">
      <c r="A8" s="876" t="s">
        <v>276</v>
      </c>
      <c r="B8" s="847"/>
      <c r="C8" s="380"/>
      <c r="E8" s="1324">
        <f>E6+E7</f>
        <v>52256337.120000005</v>
      </c>
      <c r="F8" s="848"/>
      <c r="G8" s="848"/>
      <c r="O8" s="8"/>
    </row>
    <row r="9" spans="1:15">
      <c r="A9" s="1261" t="s">
        <v>268</v>
      </c>
      <c r="B9" s="877">
        <f>'Step 1 Dedicated Funds'!V59-B10</f>
        <v>139160749.16776377</v>
      </c>
      <c r="C9" s="380"/>
      <c r="D9" s="10" t="s">
        <v>770</v>
      </c>
      <c r="E9" s="1324"/>
      <c r="F9" s="848"/>
      <c r="G9" s="848"/>
      <c r="O9" s="1"/>
    </row>
    <row r="10" spans="1:15">
      <c r="A10" s="1261" t="s">
        <v>1296</v>
      </c>
      <c r="B10" s="877">
        <f>'Step 1 Dedicated Funds'!P59</f>
        <v>17600000</v>
      </c>
      <c r="C10" s="380"/>
      <c r="D10" s="344" t="s">
        <v>110</v>
      </c>
      <c r="E10" s="1324">
        <f>E12*E6/E8</f>
        <v>53074615.693149813</v>
      </c>
      <c r="F10" s="848"/>
      <c r="G10" s="848"/>
      <c r="O10" s="1"/>
    </row>
    <row r="11" spans="1:15">
      <c r="A11" s="1261" t="s">
        <v>1298</v>
      </c>
      <c r="B11" s="877">
        <f>'Step 2 Productivity Split'!C9</f>
        <v>259986731.67101803</v>
      </c>
      <c r="C11" s="380"/>
      <c r="D11" s="344" t="s">
        <v>111</v>
      </c>
      <c r="E11" s="1324">
        <f>E12-E10</f>
        <v>8307837.0746859983</v>
      </c>
      <c r="F11" s="848"/>
      <c r="G11" s="848"/>
      <c r="O11" s="1"/>
    </row>
    <row r="12" spans="1:15" ht="16.5" thickBot="1">
      <c r="A12" s="875" t="s">
        <v>634</v>
      </c>
      <c r="B12" s="1262">
        <f>'Step 2 Productivity Split'!C10</f>
        <v>17319704</v>
      </c>
      <c r="C12" s="380"/>
      <c r="D12" s="1006" t="s">
        <v>13</v>
      </c>
      <c r="E12" s="1325">
        <f>'Ecampus '!D25+Summer!D26</f>
        <v>61382452.767835811</v>
      </c>
      <c r="F12" s="850"/>
      <c r="G12" s="850"/>
      <c r="O12" s="1"/>
    </row>
    <row r="13" spans="1:15" ht="16.5" thickTop="1">
      <c r="A13" s="875" t="s">
        <v>701</v>
      </c>
      <c r="B13" s="1262">
        <f>'Step 2 Productivity Split'!C11</f>
        <v>22100000</v>
      </c>
      <c r="C13" s="380"/>
      <c r="O13" s="1"/>
    </row>
    <row r="14" spans="1:15">
      <c r="A14" s="875" t="s">
        <v>1299</v>
      </c>
      <c r="B14" s="1262">
        <f>'Step 2 Productivity Split'!C12</f>
        <v>220567027.67101803</v>
      </c>
      <c r="C14" s="639"/>
      <c r="D14" s="185"/>
      <c r="F14" s="1027"/>
      <c r="O14" s="1"/>
    </row>
    <row r="15" spans="1:15">
      <c r="A15" s="875"/>
      <c r="B15" s="877">
        <f>'Step 1 Dedicated Funds'!C59</f>
        <v>0</v>
      </c>
      <c r="C15" s="380"/>
      <c r="O15" s="854"/>
    </row>
    <row r="16" spans="1:15">
      <c r="A16" s="1261" t="s">
        <v>1301</v>
      </c>
      <c r="B16" s="877">
        <f>'Step 2 Productivity Split'!C18</f>
        <v>180668745.73748711</v>
      </c>
      <c r="C16" s="380"/>
      <c r="D16" s="185" t="s">
        <v>1362</v>
      </c>
      <c r="O16" s="1"/>
    </row>
    <row r="17" spans="1:15">
      <c r="A17" s="875" t="s">
        <v>469</v>
      </c>
      <c r="B17" s="1262">
        <f>'Step 4 Contract and Reserves'!B7+'Step 4 Contract and Reserves'!B6+SUM('Step 5 Exec and Strategic'!E8)</f>
        <v>5193000</v>
      </c>
      <c r="C17" s="380"/>
      <c r="D17" s="185"/>
      <c r="O17" s="1"/>
    </row>
    <row r="18" spans="1:15">
      <c r="A18" s="1263" t="s">
        <v>472</v>
      </c>
      <c r="B18" s="1262">
        <f>'Step 4 Contract and Reserves'!B11</f>
        <v>4500000</v>
      </c>
      <c r="C18" s="380"/>
      <c r="O18" s="1"/>
    </row>
    <row r="19" spans="1:15">
      <c r="A19" s="1263" t="s">
        <v>473</v>
      </c>
      <c r="B19" s="1262">
        <f>'Step 4 Contract and Reserves'!B12</f>
        <v>21461646.77</v>
      </c>
      <c r="C19" s="380"/>
      <c r="D19" s="185"/>
      <c r="O19" s="1"/>
    </row>
    <row r="20" spans="1:15">
      <c r="A20" s="875" t="s">
        <v>1300</v>
      </c>
      <c r="B20" s="1262">
        <f>'Step 5 Exec and Strategic'!C59</f>
        <v>11948324.531525379</v>
      </c>
      <c r="C20" s="639"/>
      <c r="O20" s="1"/>
    </row>
    <row r="21" spans="1:15">
      <c r="A21" s="875" t="s">
        <v>635</v>
      </c>
      <c r="B21" s="1262">
        <f>'Step 5 Exec and Strategic'!D58</f>
        <v>13025896</v>
      </c>
      <c r="C21" s="380"/>
      <c r="D21" s="185"/>
      <c r="O21" s="1"/>
    </row>
    <row r="22" spans="1:15">
      <c r="A22" s="875" t="s">
        <v>277</v>
      </c>
      <c r="B22" s="1264">
        <f>B16-SUM(B17:B21)</f>
        <v>124539878.43596172</v>
      </c>
      <c r="C22" s="380"/>
      <c r="O22" s="1"/>
    </row>
    <row r="23" spans="1:15">
      <c r="A23" s="1266" t="s">
        <v>13</v>
      </c>
      <c r="B23" s="1265">
        <f>SUM(B9,B10,B11,B16)</f>
        <v>597416226.57626891</v>
      </c>
      <c r="C23" s="380"/>
      <c r="O23" s="1"/>
    </row>
    <row r="24" spans="1:15">
      <c r="A24" s="847"/>
      <c r="B24" s="847"/>
      <c r="C24" s="380"/>
      <c r="O24" s="1"/>
    </row>
    <row r="25" spans="1:15">
      <c r="A25" s="878" t="s">
        <v>1302</v>
      </c>
      <c r="B25" s="874">
        <f>B14</f>
        <v>220567027.67101803</v>
      </c>
      <c r="C25" s="380"/>
      <c r="O25" s="1"/>
    </row>
    <row r="26" spans="1:15">
      <c r="A26" s="878" t="s">
        <v>1303</v>
      </c>
      <c r="B26" s="874">
        <f>B22</f>
        <v>124539878.43596172</v>
      </c>
      <c r="C26" s="380"/>
      <c r="O26" s="1"/>
    </row>
    <row r="27" spans="1:15">
      <c r="A27" s="380"/>
      <c r="B27" s="380"/>
      <c r="C27" s="380"/>
      <c r="O27" s="1"/>
    </row>
    <row r="28" spans="1:15">
      <c r="A28" s="380"/>
      <c r="B28" s="380"/>
      <c r="C28" s="380"/>
      <c r="O28" s="1"/>
    </row>
    <row r="29" spans="1:15" ht="16.5" thickBot="1">
      <c r="A29" s="380"/>
      <c r="B29" s="380"/>
      <c r="C29" s="380"/>
      <c r="O29" s="1"/>
    </row>
    <row r="30" spans="1:15" ht="15" customHeight="1">
      <c r="A30" s="886" t="s">
        <v>1326</v>
      </c>
      <c r="B30" s="879"/>
      <c r="C30" s="380"/>
      <c r="O30" s="1"/>
    </row>
    <row r="31" spans="1:15">
      <c r="A31" s="880"/>
      <c r="B31" s="881"/>
      <c r="C31" s="380"/>
      <c r="O31" s="1"/>
    </row>
    <row r="32" spans="1:15" ht="15" customHeight="1">
      <c r="A32" s="882" t="s">
        <v>979</v>
      </c>
      <c r="B32" s="883">
        <v>203</v>
      </c>
      <c r="C32" s="380"/>
      <c r="O32" s="1"/>
    </row>
    <row r="33" spans="1:15">
      <c r="A33" s="882" t="s">
        <v>297</v>
      </c>
      <c r="B33" s="883">
        <f>-0.1*B32</f>
        <v>-20.3</v>
      </c>
      <c r="C33" s="380"/>
      <c r="O33" s="1"/>
    </row>
    <row r="34" spans="1:15" ht="15" customHeight="1">
      <c r="A34" s="882" t="s">
        <v>298</v>
      </c>
      <c r="B34" s="883">
        <f>B32+B33</f>
        <v>182.7</v>
      </c>
      <c r="C34" s="380"/>
      <c r="O34" s="1"/>
    </row>
    <row r="35" spans="1:15">
      <c r="A35" s="882"/>
      <c r="B35" s="881"/>
      <c r="C35" s="380"/>
      <c r="O35" s="1"/>
    </row>
    <row r="36" spans="1:15" ht="15" customHeight="1">
      <c r="A36" s="882" t="s">
        <v>980</v>
      </c>
      <c r="B36" s="883">
        <v>465</v>
      </c>
      <c r="C36" s="380"/>
      <c r="O36" s="1"/>
    </row>
    <row r="37" spans="1:15">
      <c r="A37" s="882" t="s">
        <v>297</v>
      </c>
      <c r="B37" s="883">
        <f>-0.1*B36</f>
        <v>-46.5</v>
      </c>
      <c r="C37" s="380"/>
      <c r="O37" s="1"/>
    </row>
    <row r="38" spans="1:15">
      <c r="A38" s="882" t="s">
        <v>301</v>
      </c>
      <c r="B38" s="883">
        <f>B36+B37</f>
        <v>418.5</v>
      </c>
      <c r="C38" s="380"/>
      <c r="O38" s="1"/>
    </row>
    <row r="39" spans="1:15">
      <c r="A39" s="882"/>
      <c r="B39" s="881"/>
      <c r="C39" s="380"/>
      <c r="O39" s="1"/>
    </row>
    <row r="40" spans="1:15">
      <c r="A40" s="882" t="s">
        <v>299</v>
      </c>
      <c r="B40" s="883">
        <v>215</v>
      </c>
      <c r="C40" s="380"/>
      <c r="O40" s="1"/>
    </row>
    <row r="41" spans="1:15">
      <c r="A41" s="882" t="s">
        <v>297</v>
      </c>
      <c r="B41" s="883">
        <f>-0.1*B40</f>
        <v>-21.5</v>
      </c>
      <c r="C41" s="380"/>
      <c r="O41" s="1"/>
    </row>
    <row r="42" spans="1:15">
      <c r="A42" s="882" t="s">
        <v>300</v>
      </c>
      <c r="B42" s="883">
        <f>B40+B41</f>
        <v>193.5</v>
      </c>
      <c r="C42" s="380"/>
      <c r="O42" s="1"/>
    </row>
    <row r="43" spans="1:15" ht="15" customHeight="1">
      <c r="A43" s="882"/>
      <c r="B43" s="881"/>
      <c r="C43" s="380"/>
      <c r="O43" s="1"/>
    </row>
    <row r="44" spans="1:15">
      <c r="A44" s="882" t="s">
        <v>302</v>
      </c>
      <c r="B44" s="883">
        <v>456</v>
      </c>
      <c r="C44" s="380"/>
      <c r="O44" s="1"/>
    </row>
    <row r="45" spans="1:15" ht="15" customHeight="1">
      <c r="A45" s="882" t="s">
        <v>297</v>
      </c>
      <c r="B45" s="883">
        <f>-0.1*B44</f>
        <v>-45.6</v>
      </c>
      <c r="C45" s="380"/>
      <c r="O45" s="1"/>
    </row>
    <row r="46" spans="1:15">
      <c r="A46" s="882" t="s">
        <v>301</v>
      </c>
      <c r="B46" s="883">
        <f>B44+B45</f>
        <v>410.4</v>
      </c>
      <c r="C46" s="380"/>
      <c r="O46" s="1"/>
    </row>
    <row r="47" spans="1:15" ht="15" customHeight="1">
      <c r="A47" s="880"/>
      <c r="B47" s="881"/>
      <c r="C47" s="380"/>
      <c r="O47" s="1"/>
    </row>
    <row r="48" spans="1:15">
      <c r="A48" s="882" t="s">
        <v>772</v>
      </c>
      <c r="B48" s="883">
        <v>201</v>
      </c>
      <c r="C48" s="380"/>
      <c r="O48" s="1"/>
    </row>
    <row r="49" spans="1:15" ht="15" customHeight="1">
      <c r="A49" s="882" t="s">
        <v>297</v>
      </c>
      <c r="B49" s="883">
        <f>-0.1*B48</f>
        <v>-20.100000000000001</v>
      </c>
      <c r="C49" s="380"/>
      <c r="O49" s="1"/>
    </row>
    <row r="50" spans="1:15">
      <c r="A50" s="882" t="s">
        <v>300</v>
      </c>
      <c r="B50" s="883">
        <f>B48+B49</f>
        <v>180.9</v>
      </c>
      <c r="O50" s="1"/>
    </row>
    <row r="51" spans="1:15">
      <c r="A51" s="882"/>
      <c r="B51" s="881"/>
      <c r="O51" s="1"/>
    </row>
    <row r="52" spans="1:15">
      <c r="A52" s="882" t="s">
        <v>773</v>
      </c>
      <c r="B52" s="883">
        <v>457</v>
      </c>
      <c r="O52" s="1"/>
    </row>
    <row r="53" spans="1:15">
      <c r="A53" s="882" t="s">
        <v>297</v>
      </c>
      <c r="B53" s="883">
        <f>-0.1*B52</f>
        <v>-45.7</v>
      </c>
      <c r="O53" s="1"/>
    </row>
    <row r="54" spans="1:15" ht="16.5" thickBot="1">
      <c r="A54" s="884" t="s">
        <v>301</v>
      </c>
      <c r="B54" s="885">
        <f>B52+B53</f>
        <v>411.3</v>
      </c>
      <c r="O54" s="1"/>
    </row>
    <row r="55" spans="1:15">
      <c r="O55" s="1"/>
    </row>
    <row r="56" spans="1:15">
      <c r="O56" s="1"/>
    </row>
    <row r="57" spans="1:15">
      <c r="O57" s="1"/>
    </row>
    <row r="58" spans="1:15">
      <c r="O58" s="1"/>
    </row>
  </sheetData>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pageSetUpPr fitToPage="1"/>
  </sheetPr>
  <dimension ref="A1:AJ103"/>
  <sheetViews>
    <sheetView workbookViewId="0">
      <selection activeCell="F1" sqref="F1"/>
    </sheetView>
  </sheetViews>
  <sheetFormatPr defaultColWidth="10" defaultRowHeight="15.75"/>
  <cols>
    <col min="1" max="2" width="3.5" customWidth="1"/>
    <col min="3" max="3" width="3.375" customWidth="1"/>
    <col min="4" max="4" width="19.125" customWidth="1"/>
    <col min="5" max="5" width="15.5" customWidth="1"/>
    <col min="6" max="6" width="17" customWidth="1"/>
    <col min="7" max="7" width="7.5" style="42" customWidth="1"/>
    <col min="8" max="8" width="1.5" customWidth="1"/>
    <col min="9" max="9" width="18.625" customWidth="1"/>
    <col min="10" max="10" width="1.5" customWidth="1"/>
    <col min="11" max="11" width="17" customWidth="1"/>
    <col min="12" max="12" width="18.5" customWidth="1"/>
    <col min="13" max="14" width="1.5" customWidth="1"/>
    <col min="15" max="15" width="16.375" customWidth="1"/>
    <col min="16" max="16" width="27.875" customWidth="1"/>
    <col min="17" max="17" width="16.375" customWidth="1"/>
    <col min="18" max="18" width="13.625" customWidth="1"/>
    <col min="19" max="19" width="14.625" bestFit="1" customWidth="1"/>
    <col min="20" max="25" width="13.125" customWidth="1"/>
    <col min="26" max="26" width="25.875" customWidth="1"/>
    <col min="27" max="34" width="16.375" customWidth="1"/>
    <col min="35" max="35" width="13.5" customWidth="1"/>
  </cols>
  <sheetData>
    <row r="1" spans="1:35" ht="21">
      <c r="A1" s="1936" t="s">
        <v>18</v>
      </c>
      <c r="B1" s="1936"/>
      <c r="C1" s="1936"/>
      <c r="D1" s="1936"/>
      <c r="E1" s="53"/>
      <c r="F1" s="53" t="s">
        <v>1732</v>
      </c>
      <c r="G1" s="54"/>
      <c r="H1" s="55"/>
      <c r="I1" s="1938" t="s">
        <v>1588</v>
      </c>
      <c r="J1" s="1938"/>
      <c r="K1" s="1938"/>
      <c r="L1" s="1939"/>
      <c r="M1" s="56"/>
      <c r="N1" s="56"/>
      <c r="P1" s="56"/>
      <c r="Q1" s="57"/>
      <c r="R1" s="12"/>
    </row>
    <row r="2" spans="1:35" ht="19.5">
      <c r="A2" s="1937" t="s">
        <v>1356</v>
      </c>
      <c r="B2" s="1937"/>
      <c r="C2" s="1937"/>
      <c r="D2" s="1937"/>
      <c r="E2" s="53"/>
      <c r="F2" s="53"/>
      <c r="G2" s="58"/>
      <c r="H2" s="57"/>
      <c r="I2" s="59" t="s">
        <v>107</v>
      </c>
      <c r="J2" s="60"/>
      <c r="K2" s="61" t="s">
        <v>108</v>
      </c>
      <c r="L2" s="62"/>
      <c r="M2" s="63"/>
      <c r="N2" s="68"/>
      <c r="P2" s="64"/>
      <c r="Q2" s="57"/>
      <c r="W2" t="s">
        <v>1733</v>
      </c>
    </row>
    <row r="3" spans="1:35" ht="18">
      <c r="A3" s="65"/>
      <c r="B3" s="66"/>
      <c r="D3" s="67"/>
      <c r="E3" s="67"/>
      <c r="F3" s="68"/>
      <c r="G3" s="58"/>
      <c r="H3" s="57"/>
      <c r="I3" s="69" t="s">
        <v>109</v>
      </c>
      <c r="J3" s="70"/>
      <c r="K3" s="71" t="s">
        <v>109</v>
      </c>
      <c r="L3" s="71" t="s">
        <v>13</v>
      </c>
      <c r="M3" s="72"/>
      <c r="N3" s="64"/>
      <c r="P3" s="64" t="s">
        <v>1727</v>
      </c>
      <c r="R3" s="57">
        <v>2622027</v>
      </c>
      <c r="S3">
        <v>5634965</v>
      </c>
      <c r="T3">
        <v>8836379</v>
      </c>
      <c r="U3">
        <v>12037792</v>
      </c>
      <c r="V3">
        <v>15239205</v>
      </c>
      <c r="W3">
        <v>40</v>
      </c>
    </row>
    <row r="4" spans="1:35" ht="16.5">
      <c r="A4" s="67"/>
      <c r="B4" s="67"/>
      <c r="C4" s="67"/>
      <c r="D4" s="67"/>
      <c r="E4" s="67"/>
      <c r="F4" s="67"/>
      <c r="G4" s="73"/>
      <c r="H4" s="57"/>
      <c r="I4" s="74"/>
      <c r="J4" s="75"/>
      <c r="K4" s="48"/>
      <c r="L4" s="76"/>
      <c r="M4" s="76"/>
      <c r="N4" s="57"/>
      <c r="P4" s="57"/>
      <c r="Q4" s="57"/>
    </row>
    <row r="5" spans="1:35" ht="18">
      <c r="A5" s="320" t="s">
        <v>418</v>
      </c>
      <c r="B5" s="77"/>
      <c r="C5" s="67"/>
      <c r="D5" s="67"/>
      <c r="E5" s="67"/>
      <c r="F5" s="67"/>
      <c r="G5" s="73"/>
      <c r="H5" s="57"/>
      <c r="I5" s="321"/>
      <c r="J5" s="75"/>
      <c r="K5" s="48"/>
      <c r="L5" s="76"/>
      <c r="M5" s="76"/>
      <c r="N5" s="57"/>
      <c r="P5" s="104"/>
      <c r="Q5" s="78" t="s">
        <v>1213</v>
      </c>
      <c r="R5" s="78" t="s">
        <v>1726</v>
      </c>
      <c r="S5" s="78" t="s">
        <v>1728</v>
      </c>
      <c r="T5" s="78" t="s">
        <v>1729</v>
      </c>
      <c r="U5" s="78" t="s">
        <v>1734</v>
      </c>
      <c r="V5" s="78" t="s">
        <v>1730</v>
      </c>
      <c r="W5" s="78" t="s">
        <v>1731</v>
      </c>
      <c r="X5" s="78"/>
      <c r="Z5" t="s">
        <v>1613</v>
      </c>
    </row>
    <row r="6" spans="1:35" ht="18">
      <c r="A6" s="77"/>
      <c r="B6" s="77" t="s">
        <v>419</v>
      </c>
      <c r="C6" s="77"/>
      <c r="D6" s="77"/>
      <c r="E6" s="77"/>
      <c r="F6" s="77"/>
      <c r="G6" s="78"/>
      <c r="H6" s="82"/>
      <c r="I6" s="79">
        <v>65371545</v>
      </c>
      <c r="J6" s="80"/>
      <c r="K6" s="84">
        <v>0</v>
      </c>
      <c r="L6" s="85">
        <f t="shared" ref="L6:L22" si="0">I6+K6</f>
        <v>65371545</v>
      </c>
      <c r="M6" s="78"/>
      <c r="N6" s="78"/>
      <c r="O6" s="1027"/>
      <c r="P6" s="77" t="s">
        <v>419</v>
      </c>
      <c r="Q6" s="1765">
        <v>58015876</v>
      </c>
      <c r="R6" s="1766">
        <v>102567546</v>
      </c>
      <c r="S6" s="78">
        <f>$Q23+S3-SUM(S11:S22)</f>
        <v>104731499</v>
      </c>
      <c r="T6" s="78">
        <f>$Q23+T3-SUM(T11:T22)</f>
        <v>107932913</v>
      </c>
      <c r="U6" s="78">
        <f>$Q23+U3-SUM(U11:U22)</f>
        <v>111134326</v>
      </c>
      <c r="V6" s="78">
        <f>$Q23+V3-SUM(V11:V22)</f>
        <v>114335739</v>
      </c>
      <c r="W6" s="78">
        <f>IF(W3=40,R6,IF(W3=60,S6,IF(W3=80,T6,IF(W3=100,U6,V6))))</f>
        <v>102567546</v>
      </c>
      <c r="X6" s="1767">
        <f>W6/SUM(Q6:Q7)</f>
        <v>1.0332035983906298</v>
      </c>
    </row>
    <row r="7" spans="1:35" ht="18">
      <c r="A7" s="77"/>
      <c r="B7" s="77" t="s">
        <v>420</v>
      </c>
      <c r="C7" s="77"/>
      <c r="D7" s="77"/>
      <c r="E7" s="77"/>
      <c r="F7" s="77"/>
      <c r="G7" s="78"/>
      <c r="H7" s="82"/>
      <c r="I7" s="79">
        <v>45854989</v>
      </c>
      <c r="J7" s="80"/>
      <c r="K7" s="84">
        <v>0</v>
      </c>
      <c r="L7" s="85">
        <f t="shared" si="0"/>
        <v>45854989</v>
      </c>
      <c r="M7" s="78"/>
      <c r="N7" s="78"/>
      <c r="O7" s="1027"/>
      <c r="P7" s="77" t="s">
        <v>420</v>
      </c>
      <c r="Q7" s="1765">
        <v>41255503</v>
      </c>
      <c r="R7" s="1766"/>
      <c r="S7" s="78"/>
      <c r="Z7" t="s">
        <v>1588</v>
      </c>
    </row>
    <row r="8" spans="1:35" ht="18">
      <c r="B8" s="77" t="s">
        <v>112</v>
      </c>
      <c r="C8" s="77"/>
      <c r="D8" s="77"/>
      <c r="E8" s="77"/>
      <c r="F8" s="77"/>
      <c r="G8" s="78"/>
      <c r="H8" s="82"/>
      <c r="I8" s="79">
        <v>0</v>
      </c>
      <c r="J8" s="80"/>
      <c r="K8" s="84">
        <v>0</v>
      </c>
      <c r="L8" s="85">
        <f t="shared" si="0"/>
        <v>0</v>
      </c>
      <c r="M8" s="78"/>
      <c r="N8" s="78"/>
      <c r="O8" s="1027"/>
      <c r="P8" s="77" t="s">
        <v>112</v>
      </c>
      <c r="Q8" s="1765"/>
      <c r="R8" s="1766">
        <v>0</v>
      </c>
      <c r="S8" s="78"/>
      <c r="Z8" s="1748">
        <v>43597</v>
      </c>
    </row>
    <row r="9" spans="1:35" ht="18">
      <c r="B9" s="77" t="s">
        <v>421</v>
      </c>
      <c r="C9" s="77"/>
      <c r="D9" s="77"/>
      <c r="E9" s="77"/>
      <c r="F9" s="77"/>
      <c r="G9" s="78"/>
      <c r="H9" s="82"/>
      <c r="I9" s="79">
        <v>0</v>
      </c>
      <c r="J9" s="80"/>
      <c r="K9" s="84">
        <v>0</v>
      </c>
      <c r="L9" s="85">
        <f t="shared" si="0"/>
        <v>0</v>
      </c>
      <c r="M9" s="78"/>
      <c r="N9" s="78"/>
      <c r="O9" s="1027"/>
      <c r="P9" s="77" t="s">
        <v>421</v>
      </c>
      <c r="Q9" s="1765"/>
      <c r="R9" s="1766">
        <v>0</v>
      </c>
      <c r="S9" s="78"/>
    </row>
    <row r="10" spans="1:35" ht="18">
      <c r="B10" s="77" t="s">
        <v>422</v>
      </c>
      <c r="C10" s="77"/>
      <c r="D10" s="77"/>
      <c r="E10" s="77"/>
      <c r="F10" s="77"/>
      <c r="G10" s="78"/>
      <c r="H10" s="82"/>
      <c r="I10" s="79"/>
      <c r="J10" s="80"/>
      <c r="K10" s="84"/>
      <c r="L10" s="85">
        <f t="shared" si="0"/>
        <v>0</v>
      </c>
      <c r="M10" s="78"/>
      <c r="N10" s="78"/>
      <c r="O10" s="1027"/>
      <c r="P10" s="77" t="s">
        <v>422</v>
      </c>
      <c r="Q10" s="1765"/>
      <c r="R10" s="1766">
        <v>0</v>
      </c>
      <c r="S10" s="78"/>
      <c r="AA10" t="s">
        <v>1691</v>
      </c>
      <c r="AB10" t="s">
        <v>1692</v>
      </c>
      <c r="AC10" t="s">
        <v>1693</v>
      </c>
      <c r="AD10" t="s">
        <v>727</v>
      </c>
    </row>
    <row r="11" spans="1:35" ht="18">
      <c r="B11" s="77"/>
      <c r="C11" s="77" t="s">
        <v>423</v>
      </c>
      <c r="D11" s="77"/>
      <c r="E11" s="77"/>
      <c r="F11" s="77"/>
      <c r="G11" s="78"/>
      <c r="H11" s="82"/>
      <c r="I11" s="79">
        <v>3105978</v>
      </c>
      <c r="J11" s="80"/>
      <c r="K11" s="84">
        <v>0</v>
      </c>
      <c r="L11" s="85">
        <f t="shared" si="0"/>
        <v>3105978</v>
      </c>
      <c r="M11" s="78"/>
      <c r="N11" s="78"/>
      <c r="O11" s="1027"/>
      <c r="P11" s="1763" t="s">
        <v>423</v>
      </c>
      <c r="Q11" s="188">
        <v>2989392</v>
      </c>
      <c r="R11" s="1766">
        <v>3045000</v>
      </c>
      <c r="S11" s="78">
        <f>R11</f>
        <v>3045000</v>
      </c>
      <c r="T11" s="78">
        <f>S11</f>
        <v>3045000</v>
      </c>
      <c r="U11" s="78">
        <f>T11</f>
        <v>3045000</v>
      </c>
      <c r="V11" s="78">
        <f>U11</f>
        <v>3045000</v>
      </c>
      <c r="W11" s="78">
        <f>V11</f>
        <v>3045000</v>
      </c>
      <c r="AA11" t="s">
        <v>1694</v>
      </c>
      <c r="AB11" t="s">
        <v>1695</v>
      </c>
      <c r="AC11" t="s">
        <v>1696</v>
      </c>
      <c r="AD11" t="s">
        <v>1697</v>
      </c>
      <c r="AE11" s="1496" t="s">
        <v>850</v>
      </c>
      <c r="AF11" s="1496" t="s">
        <v>65</v>
      </c>
      <c r="AG11" s="1496" t="s">
        <v>66</v>
      </c>
      <c r="AH11" s="1496" t="s">
        <v>1438</v>
      </c>
      <c r="AI11" s="1496" t="s">
        <v>1698</v>
      </c>
    </row>
    <row r="12" spans="1:35" ht="18">
      <c r="B12" s="77"/>
      <c r="C12" s="77" t="s">
        <v>424</v>
      </c>
      <c r="D12" s="77"/>
      <c r="E12" s="77"/>
      <c r="F12" s="77"/>
      <c r="G12" s="78"/>
      <c r="H12" s="82"/>
      <c r="I12" s="79"/>
      <c r="J12" s="80"/>
      <c r="K12" s="84"/>
      <c r="L12" s="85">
        <f t="shared" si="0"/>
        <v>0</v>
      </c>
      <c r="M12" s="78"/>
      <c r="N12" s="78"/>
      <c r="O12" s="1027"/>
      <c r="P12" s="1763" t="s">
        <v>424</v>
      </c>
      <c r="Q12" s="188"/>
      <c r="R12" s="1766">
        <v>0</v>
      </c>
      <c r="S12" s="78"/>
      <c r="T12" s="78"/>
      <c r="U12" s="78"/>
      <c r="V12" s="78"/>
      <c r="W12" s="78"/>
      <c r="Z12" s="1496" t="s">
        <v>1699</v>
      </c>
      <c r="AE12" s="1496"/>
      <c r="AF12" s="1496"/>
      <c r="AG12" s="1496"/>
      <c r="AH12" s="1496"/>
    </row>
    <row r="13" spans="1:35" ht="18">
      <c r="B13" s="77"/>
      <c r="C13" s="77"/>
      <c r="D13" s="77" t="s">
        <v>425</v>
      </c>
      <c r="E13" s="77"/>
      <c r="F13" s="77"/>
      <c r="G13" s="78"/>
      <c r="H13" s="82"/>
      <c r="I13" s="79">
        <v>0</v>
      </c>
      <c r="J13" s="80"/>
      <c r="K13" s="84">
        <v>1185708</v>
      </c>
      <c r="L13" s="85">
        <f t="shared" si="0"/>
        <v>1185708</v>
      </c>
      <c r="M13" s="78"/>
      <c r="N13" s="78"/>
      <c r="O13" s="1027"/>
      <c r="P13" s="1764" t="s">
        <v>425</v>
      </c>
      <c r="Q13" s="1765">
        <v>1141201</v>
      </c>
      <c r="R13" s="1766">
        <v>1154550</v>
      </c>
      <c r="S13" s="78">
        <f t="shared" ref="S13:V22" si="1">R13</f>
        <v>1154550</v>
      </c>
      <c r="T13" s="78">
        <f t="shared" si="1"/>
        <v>1154550</v>
      </c>
      <c r="U13" s="78">
        <f t="shared" si="1"/>
        <v>1154550</v>
      </c>
      <c r="V13" s="78">
        <f t="shared" si="1"/>
        <v>1154550</v>
      </c>
      <c r="W13" s="78">
        <f t="shared" ref="W13:W22" si="2">V13</f>
        <v>1154550</v>
      </c>
      <c r="Z13" s="43" t="s">
        <v>513</v>
      </c>
      <c r="AA13" s="188">
        <v>100000</v>
      </c>
      <c r="AB13" s="188">
        <v>0</v>
      </c>
      <c r="AC13" s="188">
        <v>400000</v>
      </c>
      <c r="AD13" s="188">
        <v>100000</v>
      </c>
      <c r="AE13" s="848">
        <f>SUM(AA13:AD13)</f>
        <v>600000</v>
      </c>
      <c r="AF13" s="848">
        <v>8010000</v>
      </c>
      <c r="AG13" s="848">
        <v>483439</v>
      </c>
      <c r="AH13" s="848">
        <v>1900000</v>
      </c>
      <c r="AI13" s="12">
        <f>SUM(AA13:AD13)</f>
        <v>600000</v>
      </c>
    </row>
    <row r="14" spans="1:35" ht="18">
      <c r="B14" s="77"/>
      <c r="C14" s="77"/>
      <c r="D14" s="77" t="s">
        <v>426</v>
      </c>
      <c r="E14" s="77"/>
      <c r="F14" s="77"/>
      <c r="G14" s="78"/>
      <c r="H14" s="82"/>
      <c r="I14" s="79">
        <v>0</v>
      </c>
      <c r="J14" s="80"/>
      <c r="K14" s="84">
        <v>3957208</v>
      </c>
      <c r="L14" s="85">
        <f t="shared" si="0"/>
        <v>3957208</v>
      </c>
      <c r="M14" s="78"/>
      <c r="N14" s="78"/>
      <c r="O14" s="1027"/>
      <c r="P14" s="1764" t="s">
        <v>426</v>
      </c>
      <c r="Q14" s="1765">
        <v>3808670</v>
      </c>
      <c r="R14" s="1766">
        <v>3851821</v>
      </c>
      <c r="S14" s="78">
        <f t="shared" si="1"/>
        <v>3851821</v>
      </c>
      <c r="T14" s="78">
        <f t="shared" si="1"/>
        <v>3851821</v>
      </c>
      <c r="U14" s="78">
        <f t="shared" si="1"/>
        <v>3851821</v>
      </c>
      <c r="V14" s="78">
        <f t="shared" si="1"/>
        <v>3851821</v>
      </c>
      <c r="W14" s="78">
        <f t="shared" si="2"/>
        <v>3851821</v>
      </c>
      <c r="Z14" s="43" t="s">
        <v>6</v>
      </c>
      <c r="AA14" s="188">
        <v>20000</v>
      </c>
      <c r="AB14" s="188">
        <v>0</v>
      </c>
      <c r="AC14" s="188">
        <v>250000</v>
      </c>
      <c r="AD14" s="188">
        <v>130000</v>
      </c>
      <c r="AE14" s="848">
        <f t="shared" ref="AE14:AE29" si="3">SUM(AA14:AD14)</f>
        <v>400000</v>
      </c>
      <c r="AF14" s="848">
        <v>5643866</v>
      </c>
      <c r="AG14" s="848">
        <v>432549</v>
      </c>
      <c r="AH14" s="848">
        <v>0</v>
      </c>
      <c r="AI14" s="12">
        <f t="shared" ref="AI14:AI29" si="4">SUM(AA14:AD14)</f>
        <v>400000</v>
      </c>
    </row>
    <row r="15" spans="1:35" ht="18">
      <c r="B15" s="77"/>
      <c r="C15" s="77"/>
      <c r="D15" s="77" t="s">
        <v>113</v>
      </c>
      <c r="E15" s="77"/>
      <c r="F15" s="77"/>
      <c r="G15" s="78"/>
      <c r="H15" s="82"/>
      <c r="I15" s="79">
        <v>0</v>
      </c>
      <c r="J15" s="80"/>
      <c r="K15" s="84">
        <v>1404505</v>
      </c>
      <c r="L15" s="85">
        <f t="shared" si="0"/>
        <v>1404505</v>
      </c>
      <c r="M15" s="78"/>
      <c r="N15" s="78"/>
      <c r="O15" s="1027"/>
      <c r="P15" s="1764" t="s">
        <v>113</v>
      </c>
      <c r="Q15" s="1765">
        <v>1351785</v>
      </c>
      <c r="R15" s="1766">
        <v>1370531</v>
      </c>
      <c r="S15" s="78">
        <f t="shared" si="1"/>
        <v>1370531</v>
      </c>
      <c r="T15" s="78">
        <f t="shared" si="1"/>
        <v>1370531</v>
      </c>
      <c r="U15" s="78">
        <f t="shared" si="1"/>
        <v>1370531</v>
      </c>
      <c r="V15" s="78">
        <f t="shared" si="1"/>
        <v>1370531</v>
      </c>
      <c r="W15" s="78">
        <f t="shared" si="2"/>
        <v>1370531</v>
      </c>
      <c r="Z15" s="43" t="s">
        <v>7</v>
      </c>
      <c r="AA15" s="188">
        <v>150000</v>
      </c>
      <c r="AB15" s="188">
        <v>0</v>
      </c>
      <c r="AC15" s="188">
        <v>700000</v>
      </c>
      <c r="AD15" s="188">
        <v>600000</v>
      </c>
      <c r="AE15" s="848">
        <f>SUM(AA15:AD15)</f>
        <v>1450000</v>
      </c>
      <c r="AF15" s="848">
        <v>13500000</v>
      </c>
      <c r="AG15" s="848">
        <v>1500000</v>
      </c>
      <c r="AH15" s="848">
        <v>2550000</v>
      </c>
      <c r="AI15" s="12">
        <f t="shared" si="4"/>
        <v>1450000</v>
      </c>
    </row>
    <row r="16" spans="1:35" ht="18" customHeight="1">
      <c r="B16" s="77"/>
      <c r="C16" s="77"/>
      <c r="D16" s="77" t="s">
        <v>427</v>
      </c>
      <c r="E16" s="77"/>
      <c r="F16" s="77"/>
      <c r="G16" s="78"/>
      <c r="H16" s="82"/>
      <c r="I16" s="79">
        <v>2044560</v>
      </c>
      <c r="J16" s="80"/>
      <c r="K16" s="84">
        <v>0</v>
      </c>
      <c r="L16" s="85">
        <f t="shared" si="0"/>
        <v>2044560</v>
      </c>
      <c r="M16" s="78"/>
      <c r="N16" s="78"/>
      <c r="O16" s="1027"/>
      <c r="P16" s="1764" t="s">
        <v>427</v>
      </c>
      <c r="Q16" s="1765">
        <v>1967815</v>
      </c>
      <c r="R16" s="1766">
        <v>1990605</v>
      </c>
      <c r="S16" s="78">
        <f t="shared" si="1"/>
        <v>1990605</v>
      </c>
      <c r="T16" s="78">
        <f t="shared" si="1"/>
        <v>1990605</v>
      </c>
      <c r="U16" s="78">
        <f t="shared" si="1"/>
        <v>1990605</v>
      </c>
      <c r="V16" s="78">
        <f t="shared" si="1"/>
        <v>1990605</v>
      </c>
      <c r="W16" s="78">
        <f t="shared" si="2"/>
        <v>1990605</v>
      </c>
      <c r="Z16" s="43" t="s">
        <v>2</v>
      </c>
      <c r="AA16" s="188">
        <v>90000</v>
      </c>
      <c r="AB16" s="188">
        <v>0</v>
      </c>
      <c r="AC16" s="188">
        <v>200000</v>
      </c>
      <c r="AD16" s="188">
        <v>10000</v>
      </c>
      <c r="AE16" s="848">
        <f>SUM(AA16:AD16)</f>
        <v>300000</v>
      </c>
      <c r="AF16" s="848">
        <v>1400000</v>
      </c>
      <c r="AG16" s="848">
        <v>12448</v>
      </c>
      <c r="AH16" s="848">
        <v>430000</v>
      </c>
      <c r="AI16" s="12">
        <f t="shared" si="4"/>
        <v>300000</v>
      </c>
    </row>
    <row r="17" spans="1:36" ht="18" customHeight="1">
      <c r="B17" s="77"/>
      <c r="C17" s="77"/>
      <c r="D17" s="77" t="s">
        <v>428</v>
      </c>
      <c r="E17" s="77"/>
      <c r="F17" s="77"/>
      <c r="G17" s="78"/>
      <c r="H17" s="82"/>
      <c r="I17" s="79">
        <v>2658221</v>
      </c>
      <c r="J17" s="80"/>
      <c r="K17" s="84">
        <v>0</v>
      </c>
      <c r="L17" s="85">
        <f t="shared" si="0"/>
        <v>2658221</v>
      </c>
      <c r="M17" s="78"/>
      <c r="N17" s="78"/>
      <c r="O17" s="1027"/>
      <c r="P17" s="1764" t="s">
        <v>428</v>
      </c>
      <c r="Q17" s="1765">
        <v>2545155</v>
      </c>
      <c r="R17" s="1766">
        <v>2579824</v>
      </c>
      <c r="S17" s="78">
        <f t="shared" si="1"/>
        <v>2579824</v>
      </c>
      <c r="T17" s="78">
        <f t="shared" si="1"/>
        <v>2579824</v>
      </c>
      <c r="U17" s="78">
        <f t="shared" si="1"/>
        <v>2579824</v>
      </c>
      <c r="V17" s="78">
        <f t="shared" si="1"/>
        <v>2579824</v>
      </c>
      <c r="W17" s="78">
        <f t="shared" si="2"/>
        <v>2579824</v>
      </c>
      <c r="Z17" s="43" t="s">
        <v>1700</v>
      </c>
      <c r="AA17" s="188">
        <v>1160000</v>
      </c>
      <c r="AB17" s="188">
        <v>0</v>
      </c>
      <c r="AC17" s="188">
        <v>70000</v>
      </c>
      <c r="AD17" s="188">
        <v>45000</v>
      </c>
      <c r="AE17" s="848">
        <f>SUM(AA17:AD17)</f>
        <v>1275000</v>
      </c>
      <c r="AF17" s="848">
        <v>3500864</v>
      </c>
      <c r="AG17" s="848">
        <v>361869</v>
      </c>
      <c r="AH17" s="848">
        <v>900000</v>
      </c>
      <c r="AI17" s="12">
        <f t="shared" si="4"/>
        <v>1275000</v>
      </c>
    </row>
    <row r="18" spans="1:36" ht="18">
      <c r="B18" s="95" t="s">
        <v>429</v>
      </c>
      <c r="C18" s="78"/>
      <c r="D18" s="78"/>
      <c r="E18" s="78"/>
      <c r="F18" s="78"/>
      <c r="G18" s="78"/>
      <c r="H18" s="82"/>
      <c r="I18" s="79"/>
      <c r="J18" s="80"/>
      <c r="K18" s="92"/>
      <c r="L18" s="85">
        <f t="shared" si="0"/>
        <v>0</v>
      </c>
      <c r="M18" s="83"/>
      <c r="N18" s="83"/>
      <c r="O18" s="1027"/>
      <c r="P18" s="95" t="s">
        <v>429</v>
      </c>
      <c r="Q18" s="78"/>
      <c r="R18" s="1766">
        <v>0</v>
      </c>
      <c r="S18" s="78">
        <f t="shared" si="1"/>
        <v>0</v>
      </c>
      <c r="T18" s="78">
        <f t="shared" si="1"/>
        <v>0</v>
      </c>
      <c r="U18" s="78">
        <f t="shared" si="1"/>
        <v>0</v>
      </c>
      <c r="V18" s="78">
        <f t="shared" si="1"/>
        <v>0</v>
      </c>
      <c r="W18" s="78">
        <f t="shared" si="2"/>
        <v>0</v>
      </c>
      <c r="Z18" s="43" t="s">
        <v>8</v>
      </c>
      <c r="AA18" s="188">
        <v>100000</v>
      </c>
      <c r="AB18" s="188">
        <v>0</v>
      </c>
      <c r="AC18" s="188">
        <v>0</v>
      </c>
      <c r="AD18" s="188">
        <v>0</v>
      </c>
      <c r="AE18" s="848">
        <f>SUM(AA18:AD18)</f>
        <v>100000</v>
      </c>
      <c r="AF18" s="848">
        <v>2390286</v>
      </c>
      <c r="AG18" s="848">
        <v>21152</v>
      </c>
      <c r="AH18" s="848">
        <v>20000</v>
      </c>
      <c r="AI18" s="12">
        <f t="shared" si="4"/>
        <v>100000</v>
      </c>
    </row>
    <row r="19" spans="1:36" ht="18">
      <c r="A19" s="95" t="s">
        <v>116</v>
      </c>
      <c r="B19" s="95"/>
      <c r="C19" s="78"/>
      <c r="D19" s="78"/>
      <c r="E19" s="78"/>
      <c r="F19" s="78"/>
      <c r="G19" s="78"/>
      <c r="H19" s="82"/>
      <c r="I19" s="1851">
        <v>-1226607</v>
      </c>
      <c r="J19" s="78">
        <v>1902363</v>
      </c>
      <c r="K19" s="85">
        <v>1902363</v>
      </c>
      <c r="L19" s="85">
        <f t="shared" si="0"/>
        <v>675756</v>
      </c>
      <c r="M19" s="78"/>
      <c r="N19" s="78"/>
      <c r="O19" s="1027"/>
      <c r="P19" s="95" t="s">
        <v>116</v>
      </c>
      <c r="Q19" s="78">
        <v>675756</v>
      </c>
      <c r="R19" s="1766">
        <v>660643</v>
      </c>
      <c r="S19" s="78">
        <f t="shared" si="1"/>
        <v>660643</v>
      </c>
      <c r="T19" s="78">
        <f t="shared" si="1"/>
        <v>660643</v>
      </c>
      <c r="U19" s="78">
        <f t="shared" si="1"/>
        <v>660643</v>
      </c>
      <c r="V19" s="78">
        <f t="shared" si="1"/>
        <v>660643</v>
      </c>
      <c r="W19" s="78">
        <f t="shared" si="2"/>
        <v>660643</v>
      </c>
      <c r="Z19" s="43" t="s">
        <v>17</v>
      </c>
      <c r="AA19" s="188">
        <v>650000</v>
      </c>
      <c r="AB19" s="188">
        <v>0</v>
      </c>
      <c r="AC19" s="188">
        <v>100000</v>
      </c>
      <c r="AD19" s="188">
        <v>650000</v>
      </c>
      <c r="AE19" s="848">
        <f>SUM(AA19:AD19)</f>
        <v>1400000</v>
      </c>
      <c r="AF19" s="848">
        <v>13672115</v>
      </c>
      <c r="AG19" s="848">
        <v>775625</v>
      </c>
      <c r="AH19" s="848">
        <v>80000</v>
      </c>
      <c r="AI19" s="12">
        <f t="shared" si="4"/>
        <v>1400000</v>
      </c>
    </row>
    <row r="20" spans="1:36" ht="18">
      <c r="A20" s="95" t="s">
        <v>117</v>
      </c>
      <c r="B20" s="95"/>
      <c r="C20" s="78"/>
      <c r="D20" s="78"/>
      <c r="E20" s="78"/>
      <c r="F20" s="78"/>
      <c r="G20" s="78"/>
      <c r="H20" s="82"/>
      <c r="I20" s="79">
        <v>0</v>
      </c>
      <c r="J20" s="78"/>
      <c r="K20" s="85">
        <f>1.035*49327</f>
        <v>51053.444999999992</v>
      </c>
      <c r="L20" s="85">
        <f t="shared" si="0"/>
        <v>51053.444999999992</v>
      </c>
      <c r="M20" s="78"/>
      <c r="N20" s="78"/>
      <c r="O20" s="1027"/>
      <c r="P20" s="95" t="s">
        <v>117</v>
      </c>
      <c r="Q20" s="78">
        <v>49327</v>
      </c>
      <c r="R20" s="1766">
        <v>50000</v>
      </c>
      <c r="S20" s="78">
        <f t="shared" si="1"/>
        <v>50000</v>
      </c>
      <c r="T20" s="78">
        <f t="shared" si="1"/>
        <v>50000</v>
      </c>
      <c r="U20" s="78">
        <f t="shared" si="1"/>
        <v>50000</v>
      </c>
      <c r="V20" s="78">
        <f t="shared" si="1"/>
        <v>50000</v>
      </c>
      <c r="W20" s="78">
        <f t="shared" si="2"/>
        <v>50000</v>
      </c>
      <c r="Z20" s="43" t="s">
        <v>1701</v>
      </c>
      <c r="AA20" s="188">
        <v>70000</v>
      </c>
      <c r="AB20" s="188">
        <v>0</v>
      </c>
      <c r="AC20" s="188">
        <v>250000</v>
      </c>
      <c r="AD20" s="188">
        <v>0</v>
      </c>
      <c r="AE20" s="848">
        <f t="shared" si="3"/>
        <v>320000</v>
      </c>
      <c r="AF20" s="848">
        <v>1500000</v>
      </c>
      <c r="AG20" s="848">
        <v>120000</v>
      </c>
      <c r="AH20" s="848">
        <v>4000000</v>
      </c>
      <c r="AI20" s="12">
        <f t="shared" si="4"/>
        <v>320000</v>
      </c>
    </row>
    <row r="21" spans="1:36" ht="18">
      <c r="A21" s="95" t="s">
        <v>118</v>
      </c>
      <c r="B21" s="95"/>
      <c r="C21" s="78"/>
      <c r="D21" s="78"/>
      <c r="E21" s="78"/>
      <c r="F21" s="78"/>
      <c r="G21" s="78"/>
      <c r="H21" s="82"/>
      <c r="I21" s="79">
        <f>1.035*61833</f>
        <v>63997.154999999992</v>
      </c>
      <c r="J21" s="78"/>
      <c r="K21" s="96"/>
      <c r="L21" s="85">
        <f t="shared" si="0"/>
        <v>63997.154999999992</v>
      </c>
      <c r="M21" s="78"/>
      <c r="N21" s="78"/>
      <c r="O21" s="1027"/>
      <c r="P21" s="95" t="s">
        <v>118</v>
      </c>
      <c r="Q21" s="78">
        <v>61833</v>
      </c>
      <c r="R21" s="1766">
        <v>60000</v>
      </c>
      <c r="S21" s="78">
        <f t="shared" si="1"/>
        <v>60000</v>
      </c>
      <c r="T21" s="78">
        <f t="shared" si="1"/>
        <v>60000</v>
      </c>
      <c r="U21" s="78">
        <f t="shared" si="1"/>
        <v>60000</v>
      </c>
      <c r="V21" s="78">
        <f t="shared" si="1"/>
        <v>60000</v>
      </c>
      <c r="W21" s="78">
        <f t="shared" si="2"/>
        <v>60000</v>
      </c>
      <c r="Z21" s="43" t="s">
        <v>10</v>
      </c>
      <c r="AA21" s="188">
        <v>125000</v>
      </c>
      <c r="AB21" s="188">
        <v>0</v>
      </c>
      <c r="AC21" s="188">
        <v>225000</v>
      </c>
      <c r="AD21" s="188">
        <v>0</v>
      </c>
      <c r="AE21" s="848">
        <f t="shared" si="3"/>
        <v>350000</v>
      </c>
      <c r="AF21" s="848">
        <v>35000</v>
      </c>
      <c r="AG21" s="848">
        <v>45000</v>
      </c>
      <c r="AH21" s="848">
        <v>250000</v>
      </c>
      <c r="AI21" s="12">
        <f t="shared" si="4"/>
        <v>350000</v>
      </c>
    </row>
    <row r="22" spans="1:36" ht="18">
      <c r="A22" s="95" t="s">
        <v>119</v>
      </c>
      <c r="B22" s="95"/>
      <c r="C22" s="78"/>
      <c r="D22" s="78"/>
      <c r="E22" s="78"/>
      <c r="F22" s="78"/>
      <c r="G22" s="78"/>
      <c r="H22" s="82"/>
      <c r="I22" s="79">
        <v>0</v>
      </c>
      <c r="J22" s="78"/>
      <c r="K22" s="85">
        <f>1.035*73195</f>
        <v>75756.824999999997</v>
      </c>
      <c r="L22" s="85">
        <f t="shared" si="0"/>
        <v>75756.824999999997</v>
      </c>
      <c r="M22" s="78"/>
      <c r="N22" s="78"/>
      <c r="O22" s="1659"/>
      <c r="P22" s="95" t="s">
        <v>119</v>
      </c>
      <c r="Q22" s="78">
        <v>73195</v>
      </c>
      <c r="R22" s="1766">
        <v>76000</v>
      </c>
      <c r="S22" s="78">
        <f t="shared" si="1"/>
        <v>76000</v>
      </c>
      <c r="T22" s="78">
        <f t="shared" si="1"/>
        <v>76000</v>
      </c>
      <c r="U22" s="78">
        <f t="shared" si="1"/>
        <v>76000</v>
      </c>
      <c r="V22" s="78">
        <f t="shared" si="1"/>
        <v>76000</v>
      </c>
      <c r="W22" s="78">
        <f t="shared" si="2"/>
        <v>76000</v>
      </c>
      <c r="Z22" s="43" t="s">
        <v>4</v>
      </c>
      <c r="AA22" s="188">
        <v>600000</v>
      </c>
      <c r="AB22" s="188">
        <v>0</v>
      </c>
      <c r="AC22" s="188">
        <v>250000</v>
      </c>
      <c r="AD22" s="188">
        <v>525000</v>
      </c>
      <c r="AE22" s="848">
        <f t="shared" si="3"/>
        <v>1375000</v>
      </c>
      <c r="AF22" s="848">
        <v>5600000</v>
      </c>
      <c r="AG22" s="848">
        <v>1700000</v>
      </c>
      <c r="AH22" s="848">
        <v>800000</v>
      </c>
      <c r="AI22" s="12">
        <f t="shared" si="4"/>
        <v>1375000</v>
      </c>
    </row>
    <row r="23" spans="1:36" s="33" customFormat="1" ht="18">
      <c r="A23" s="113" t="s">
        <v>430</v>
      </c>
      <c r="B23" s="95"/>
      <c r="C23" s="78"/>
      <c r="D23" s="78"/>
      <c r="E23" s="78"/>
      <c r="F23" s="78">
        <v>113935508</v>
      </c>
      <c r="G23" s="99">
        <f>L23/F23-1</f>
        <v>0.10983204134219515</v>
      </c>
      <c r="H23" s="82"/>
      <c r="I23" s="322">
        <f>SUM(I6:I22)</f>
        <v>117872683.155</v>
      </c>
      <c r="J23" s="323">
        <f>SUM(J6:J22)</f>
        <v>1902363</v>
      </c>
      <c r="K23" s="324">
        <f>SUM(K6:K22)</f>
        <v>8576594.2699999996</v>
      </c>
      <c r="L23" s="325">
        <f>SUM(L6:L22)</f>
        <v>126449277.425</v>
      </c>
      <c r="M23" s="78"/>
      <c r="N23" s="78"/>
      <c r="O23" s="1027"/>
      <c r="P23" s="97"/>
      <c r="Q23" s="78">
        <f t="shared" ref="Q23:W23" si="5">SUM(Q6:Q22)</f>
        <v>113935508</v>
      </c>
      <c r="R23" s="78">
        <f t="shared" si="5"/>
        <v>117406520</v>
      </c>
      <c r="S23" s="78">
        <f t="shared" si="5"/>
        <v>119570473</v>
      </c>
      <c r="T23" s="78">
        <f t="shared" si="5"/>
        <v>122771887</v>
      </c>
      <c r="U23" s="78">
        <f t="shared" si="5"/>
        <v>125973300</v>
      </c>
      <c r="V23" s="78">
        <f t="shared" si="5"/>
        <v>129174713</v>
      </c>
      <c r="W23" s="78">
        <f t="shared" si="5"/>
        <v>117406520</v>
      </c>
      <c r="Z23" s="43" t="s">
        <v>1</v>
      </c>
      <c r="AA23" s="188">
        <v>0</v>
      </c>
      <c r="AB23" s="188">
        <v>0</v>
      </c>
      <c r="AC23" s="188">
        <v>9200000</v>
      </c>
      <c r="AD23" s="188">
        <v>0</v>
      </c>
      <c r="AE23" s="848">
        <f t="shared" si="3"/>
        <v>9200000</v>
      </c>
      <c r="AF23" s="848">
        <v>0</v>
      </c>
      <c r="AG23" s="848">
        <v>0</v>
      </c>
      <c r="AH23" s="848">
        <v>180000</v>
      </c>
      <c r="AI23" s="12">
        <f t="shared" si="4"/>
        <v>9200000</v>
      </c>
      <c r="AJ23"/>
    </row>
    <row r="24" spans="1:36" s="33" customFormat="1" ht="18">
      <c r="A24" s="326" t="s">
        <v>431</v>
      </c>
      <c r="B24" s="95"/>
      <c r="C24" s="78"/>
      <c r="D24" s="78"/>
      <c r="E24" s="78"/>
      <c r="F24" s="78"/>
      <c r="G24" s="78"/>
      <c r="H24" s="82"/>
      <c r="I24" s="327"/>
      <c r="J24" s="126"/>
      <c r="K24" s="328"/>
      <c r="L24" s="329"/>
      <c r="M24" s="78"/>
      <c r="N24" s="78"/>
      <c r="O24" s="1027"/>
      <c r="P24" s="97"/>
      <c r="Q24" s="78"/>
      <c r="R24" s="12">
        <f t="shared" ref="R24:W24" si="6">R23-$Q23</f>
        <v>3471012</v>
      </c>
      <c r="S24" s="12">
        <f t="shared" si="6"/>
        <v>5634965</v>
      </c>
      <c r="T24" s="12">
        <f t="shared" si="6"/>
        <v>8836379</v>
      </c>
      <c r="U24" s="12">
        <f t="shared" si="6"/>
        <v>12037792</v>
      </c>
      <c r="V24" s="12">
        <f t="shared" si="6"/>
        <v>15239205</v>
      </c>
      <c r="W24" s="12">
        <f t="shared" si="6"/>
        <v>3471012</v>
      </c>
      <c r="Z24" s="43" t="s">
        <v>518</v>
      </c>
      <c r="AA24" s="188">
        <v>300000</v>
      </c>
      <c r="AB24" s="188">
        <v>0</v>
      </c>
      <c r="AC24" s="188">
        <v>0</v>
      </c>
      <c r="AD24" s="188">
        <v>0</v>
      </c>
      <c r="AE24" s="848">
        <f t="shared" si="3"/>
        <v>300000</v>
      </c>
      <c r="AF24" s="848">
        <v>0</v>
      </c>
      <c r="AG24" s="848">
        <v>1615</v>
      </c>
      <c r="AH24" s="848">
        <v>0</v>
      </c>
      <c r="AI24" s="12">
        <f t="shared" si="4"/>
        <v>300000</v>
      </c>
      <c r="AJ24"/>
    </row>
    <row r="25" spans="1:36" s="42" customFormat="1" ht="18">
      <c r="B25" s="95" t="s">
        <v>432</v>
      </c>
      <c r="C25" s="78"/>
      <c r="D25" s="78"/>
      <c r="E25" s="78"/>
      <c r="F25" s="78">
        <v>7100000</v>
      </c>
      <c r="G25" s="78"/>
      <c r="H25" s="118"/>
      <c r="I25" s="79">
        <v>0</v>
      </c>
      <c r="J25" s="78"/>
      <c r="K25" s="85">
        <v>7205391</v>
      </c>
      <c r="L25" s="85">
        <f>K25</f>
        <v>7205391</v>
      </c>
      <c r="M25" s="78"/>
      <c r="N25" s="78"/>
      <c r="O25"/>
      <c r="P25" s="97"/>
      <c r="T25" s="51"/>
      <c r="U25" s="51"/>
      <c r="V25" s="51"/>
      <c r="W25" s="51"/>
      <c r="X25" s="51"/>
      <c r="Y25" s="51"/>
      <c r="Z25" s="43" t="s">
        <v>536</v>
      </c>
      <c r="AA25" s="188">
        <v>0</v>
      </c>
      <c r="AB25" s="188">
        <v>0</v>
      </c>
      <c r="AC25" s="188">
        <v>0</v>
      </c>
      <c r="AD25" s="188">
        <v>0</v>
      </c>
      <c r="AE25" s="848">
        <f t="shared" si="3"/>
        <v>0</v>
      </c>
      <c r="AF25" s="848">
        <v>75669</v>
      </c>
      <c r="AG25" s="848">
        <v>27582</v>
      </c>
      <c r="AH25" s="848">
        <v>0</v>
      </c>
      <c r="AI25" s="12">
        <f t="shared" si="4"/>
        <v>0</v>
      </c>
      <c r="AJ25"/>
    </row>
    <row r="26" spans="1:36" s="42" customFormat="1" ht="18">
      <c r="B26" s="95" t="s">
        <v>121</v>
      </c>
      <c r="C26" s="78"/>
      <c r="D26" s="78"/>
      <c r="E26" s="78"/>
      <c r="F26" s="78">
        <v>661809</v>
      </c>
      <c r="G26" s="78"/>
      <c r="H26" s="118"/>
      <c r="I26" s="79">
        <v>0</v>
      </c>
      <c r="J26" s="78"/>
      <c r="K26" s="85">
        <v>671073</v>
      </c>
      <c r="L26" s="85">
        <f t="shared" ref="L26:L34" si="7">K26</f>
        <v>671073</v>
      </c>
      <c r="M26" s="78"/>
      <c r="N26" s="78"/>
      <c r="O26" s="12"/>
      <c r="P26" s="17" t="s">
        <v>123</v>
      </c>
      <c r="Q26" s="330" t="s">
        <v>1600</v>
      </c>
      <c r="R26" s="331"/>
      <c r="T26" s="51"/>
      <c r="U26" s="51"/>
      <c r="V26" s="51"/>
      <c r="W26" s="51"/>
      <c r="X26" s="51"/>
      <c r="Y26" s="51"/>
      <c r="Z26" s="43" t="s">
        <v>537</v>
      </c>
      <c r="AA26" s="188">
        <v>0</v>
      </c>
      <c r="AB26" s="188">
        <v>0</v>
      </c>
      <c r="AC26" s="188">
        <v>0</v>
      </c>
      <c r="AD26" s="188">
        <v>0</v>
      </c>
      <c r="AE26" s="848">
        <f t="shared" si="3"/>
        <v>0</v>
      </c>
      <c r="AF26" s="848">
        <v>237540</v>
      </c>
      <c r="AG26" s="848">
        <v>132957</v>
      </c>
      <c r="AH26" s="848">
        <v>0</v>
      </c>
      <c r="AI26" s="12">
        <f t="shared" si="4"/>
        <v>0</v>
      </c>
      <c r="AJ26"/>
    </row>
    <row r="27" spans="1:36" s="42" customFormat="1" ht="18">
      <c r="B27" s="95" t="s">
        <v>433</v>
      </c>
      <c r="C27" s="78"/>
      <c r="D27" s="78"/>
      <c r="E27" s="78"/>
      <c r="F27" s="78">
        <v>263888</v>
      </c>
      <c r="G27" s="78"/>
      <c r="H27" s="118"/>
      <c r="I27" s="79">
        <v>0</v>
      </c>
      <c r="J27" s="78"/>
      <c r="K27" s="85">
        <v>267582</v>
      </c>
      <c r="L27" s="85">
        <f t="shared" si="7"/>
        <v>267582</v>
      </c>
      <c r="M27" s="78"/>
      <c r="N27" s="78"/>
      <c r="O27" s="12"/>
      <c r="P27" s="13" t="s">
        <v>434</v>
      </c>
      <c r="Q27" s="188">
        <v>109981164.84116499</v>
      </c>
      <c r="T27" s="51"/>
      <c r="U27" s="51"/>
      <c r="V27" s="51"/>
      <c r="W27" s="51"/>
      <c r="X27" s="51"/>
      <c r="Y27" s="51"/>
      <c r="Z27" t="s">
        <v>349</v>
      </c>
      <c r="AA27" s="188">
        <v>0</v>
      </c>
      <c r="AB27" s="188">
        <v>0</v>
      </c>
      <c r="AC27" s="188">
        <v>104000</v>
      </c>
      <c r="AD27" s="188">
        <v>0</v>
      </c>
      <c r="AE27" s="188">
        <f t="shared" si="3"/>
        <v>104000</v>
      </c>
      <c r="AF27" s="188">
        <v>0</v>
      </c>
      <c r="AG27" s="188">
        <v>0</v>
      </c>
      <c r="AH27" s="188">
        <v>0</v>
      </c>
      <c r="AI27" s="12">
        <f t="shared" si="4"/>
        <v>104000</v>
      </c>
      <c r="AJ27"/>
    </row>
    <row r="28" spans="1:36" s="42" customFormat="1" ht="18">
      <c r="B28" s="95" t="s">
        <v>115</v>
      </c>
      <c r="C28" s="78"/>
      <c r="D28" s="78"/>
      <c r="E28" s="78"/>
      <c r="F28" s="78">
        <v>330905</v>
      </c>
      <c r="G28" s="78"/>
      <c r="H28" s="118"/>
      <c r="I28" s="79">
        <v>0</v>
      </c>
      <c r="J28" s="78"/>
      <c r="K28" s="85">
        <v>335538</v>
      </c>
      <c r="L28" s="85">
        <f t="shared" si="7"/>
        <v>335538</v>
      </c>
      <c r="M28" s="78"/>
      <c r="N28" s="78"/>
      <c r="O28" s="12"/>
      <c r="P28" s="13" t="s">
        <v>435</v>
      </c>
      <c r="Q28" s="188">
        <v>123506110.83777602</v>
      </c>
      <c r="T28" s="51"/>
      <c r="U28" s="51"/>
      <c r="V28" s="51"/>
      <c r="W28" s="51"/>
      <c r="X28" s="51"/>
      <c r="Y28" s="51"/>
      <c r="Z28" s="43" t="s">
        <v>520</v>
      </c>
      <c r="AA28" s="188">
        <v>0</v>
      </c>
      <c r="AB28" s="188">
        <v>0</v>
      </c>
      <c r="AC28" s="188">
        <v>0</v>
      </c>
      <c r="AD28" s="188">
        <v>0</v>
      </c>
      <c r="AE28" s="848">
        <f t="shared" si="3"/>
        <v>0</v>
      </c>
      <c r="AF28" s="848">
        <v>0</v>
      </c>
      <c r="AG28" s="848">
        <v>122753</v>
      </c>
      <c r="AH28" s="848">
        <v>0</v>
      </c>
      <c r="AI28" s="12">
        <f t="shared" si="4"/>
        <v>0</v>
      </c>
      <c r="AJ28"/>
    </row>
    <row r="29" spans="1:36" ht="18">
      <c r="B29" s="93" t="s">
        <v>114</v>
      </c>
      <c r="C29" s="80"/>
      <c r="D29" s="80"/>
      <c r="E29" s="80"/>
      <c r="F29" s="80">
        <v>213076</v>
      </c>
      <c r="G29" s="88"/>
      <c r="H29" s="82"/>
      <c r="I29" s="79">
        <v>0</v>
      </c>
      <c r="J29" s="88"/>
      <c r="K29" s="85">
        <v>216059</v>
      </c>
      <c r="L29" s="85">
        <f t="shared" si="7"/>
        <v>216059</v>
      </c>
      <c r="M29" s="78"/>
      <c r="N29" s="78"/>
      <c r="O29" s="12"/>
      <c r="P29" s="13" t="s">
        <v>436</v>
      </c>
      <c r="Q29" s="188">
        <v>29251924.220000003</v>
      </c>
      <c r="R29" s="94"/>
      <c r="S29" s="42"/>
      <c r="T29" s="51"/>
      <c r="U29" s="51"/>
      <c r="V29" s="51"/>
      <c r="W29" s="51"/>
      <c r="X29" s="51"/>
      <c r="Y29" s="51"/>
      <c r="Z29" s="43" t="s">
        <v>1702</v>
      </c>
      <c r="AA29" s="188">
        <v>0</v>
      </c>
      <c r="AB29" s="188">
        <v>0</v>
      </c>
      <c r="AC29" s="188">
        <v>700000</v>
      </c>
      <c r="AD29" s="188">
        <v>50000</v>
      </c>
      <c r="AE29" s="848">
        <f t="shared" si="3"/>
        <v>750000</v>
      </c>
      <c r="AF29" s="848">
        <v>0</v>
      </c>
      <c r="AG29" s="848">
        <v>0</v>
      </c>
      <c r="AH29" s="848">
        <v>690500</v>
      </c>
      <c r="AI29" s="12">
        <f t="shared" si="4"/>
        <v>750000</v>
      </c>
    </row>
    <row r="30" spans="1:36" ht="18">
      <c r="A30" s="93"/>
      <c r="B30" s="93" t="s">
        <v>120</v>
      </c>
      <c r="C30" s="80"/>
      <c r="D30" s="80"/>
      <c r="E30" s="80"/>
      <c r="F30" s="80">
        <v>167020</v>
      </c>
      <c r="G30" s="88"/>
      <c r="H30" s="82"/>
      <c r="I30" s="79">
        <v>0</v>
      </c>
      <c r="J30" s="88"/>
      <c r="K30" s="85">
        <v>169358</v>
      </c>
      <c r="L30" s="85">
        <f t="shared" si="7"/>
        <v>169358</v>
      </c>
      <c r="M30" s="78"/>
      <c r="N30" s="78"/>
      <c r="O30" s="12"/>
      <c r="P30" s="13" t="s">
        <v>437</v>
      </c>
      <c r="Q30" s="188">
        <v>12550219.377</v>
      </c>
      <c r="R30" s="78"/>
      <c r="S30" s="42"/>
      <c r="T30" s="51"/>
      <c r="U30" s="51"/>
      <c r="V30" s="51"/>
      <c r="W30" s="51"/>
      <c r="X30" s="51"/>
      <c r="Y30" s="51"/>
      <c r="Z30" s="1739" t="s">
        <v>1703</v>
      </c>
      <c r="AA30" s="1740">
        <f t="shared" ref="AA30:AH30" si="8">SUM(AA13:AA29)</f>
        <v>3365000</v>
      </c>
      <c r="AB30" s="1740">
        <f t="shared" si="8"/>
        <v>0</v>
      </c>
      <c r="AC30" s="1740">
        <f t="shared" si="8"/>
        <v>12449000</v>
      </c>
      <c r="AD30" s="1740">
        <f t="shared" si="8"/>
        <v>2110000</v>
      </c>
      <c r="AE30" s="1741">
        <f t="shared" si="8"/>
        <v>17924000</v>
      </c>
      <c r="AF30" s="1741">
        <f t="shared" si="8"/>
        <v>55565340</v>
      </c>
      <c r="AG30" s="1741">
        <f t="shared" si="8"/>
        <v>5736989</v>
      </c>
      <c r="AH30" s="1741">
        <f t="shared" si="8"/>
        <v>11800500</v>
      </c>
    </row>
    <row r="31" spans="1:36" ht="18">
      <c r="A31" s="93"/>
      <c r="B31" s="93" t="s">
        <v>1219</v>
      </c>
      <c r="C31" s="80"/>
      <c r="D31" s="80"/>
      <c r="E31" s="80"/>
      <c r="F31" s="80">
        <v>1814888</v>
      </c>
      <c r="G31" s="88"/>
      <c r="H31" s="82"/>
      <c r="I31" s="79">
        <v>0</v>
      </c>
      <c r="J31" s="88"/>
      <c r="K31" s="85">
        <v>1840296</v>
      </c>
      <c r="L31" s="85">
        <f t="shared" si="7"/>
        <v>1840296</v>
      </c>
      <c r="M31" s="78"/>
      <c r="N31" s="78"/>
      <c r="O31" s="12"/>
      <c r="P31" s="13" t="s">
        <v>439</v>
      </c>
      <c r="Q31" s="188">
        <v>9434518.8173280004</v>
      </c>
      <c r="R31" s="78"/>
      <c r="S31" s="42"/>
      <c r="T31" s="51">
        <v>8009613</v>
      </c>
      <c r="U31" s="51"/>
      <c r="V31" s="51"/>
      <c r="W31" s="51"/>
      <c r="X31" s="51"/>
      <c r="Y31" s="51"/>
    </row>
    <row r="32" spans="1:36" ht="18">
      <c r="A32" s="93"/>
      <c r="B32" s="93" t="s">
        <v>1220</v>
      </c>
      <c r="C32" s="80"/>
      <c r="D32" s="80"/>
      <c r="E32" s="80"/>
      <c r="F32" s="80">
        <v>290700</v>
      </c>
      <c r="G32" s="88"/>
      <c r="H32" s="82"/>
      <c r="I32" s="79"/>
      <c r="J32" s="88"/>
      <c r="K32" s="85">
        <v>0</v>
      </c>
      <c r="L32" s="85">
        <f t="shared" si="7"/>
        <v>0</v>
      </c>
      <c r="M32" s="78"/>
      <c r="N32" s="78"/>
      <c r="O32" s="12"/>
      <c r="P32" s="13" t="s">
        <v>440</v>
      </c>
      <c r="Q32" s="188">
        <v>10705519.061999999</v>
      </c>
      <c r="R32" s="78"/>
      <c r="T32" s="51"/>
      <c r="U32" s="51"/>
      <c r="V32" s="51"/>
      <c r="W32" s="51"/>
      <c r="X32" s="51"/>
      <c r="Y32" s="51"/>
      <c r="Z32" s="1496" t="s">
        <v>1704</v>
      </c>
    </row>
    <row r="33" spans="1:36" ht="18">
      <c r="A33" s="93"/>
      <c r="B33" s="93" t="s">
        <v>899</v>
      </c>
      <c r="C33" s="80"/>
      <c r="D33" s="80"/>
      <c r="E33" s="80"/>
      <c r="F33" s="80">
        <v>142800</v>
      </c>
      <c r="G33" s="88"/>
      <c r="H33" s="82"/>
      <c r="I33" s="79"/>
      <c r="J33" s="88"/>
      <c r="K33" s="85">
        <v>0</v>
      </c>
      <c r="L33" s="85">
        <f t="shared" si="7"/>
        <v>0</v>
      </c>
      <c r="M33" s="78"/>
      <c r="N33" s="78"/>
      <c r="O33" s="12"/>
      <c r="P33" s="13" t="s">
        <v>441</v>
      </c>
      <c r="Q33" s="269">
        <v>1458176.3559999999</v>
      </c>
      <c r="R33" s="269">
        <f>SUM(Q27:Q33)</f>
        <v>296887633.51126897</v>
      </c>
      <c r="T33" s="51"/>
      <c r="U33" s="51"/>
      <c r="V33" s="51"/>
      <c r="W33" s="51"/>
      <c r="X33" s="51"/>
      <c r="Y33" s="51"/>
      <c r="Z33" t="s">
        <v>1705</v>
      </c>
      <c r="AA33" s="188">
        <v>0</v>
      </c>
      <c r="AB33" s="188">
        <v>0</v>
      </c>
      <c r="AC33" s="188">
        <v>9000</v>
      </c>
      <c r="AD33" s="188">
        <v>0</v>
      </c>
      <c r="AE33" s="188">
        <f t="shared" ref="AE33:AE52" si="9">SUM(AA33:AD33)</f>
        <v>9000</v>
      </c>
      <c r="AF33" s="188">
        <v>0</v>
      </c>
      <c r="AG33" s="188">
        <v>0</v>
      </c>
      <c r="AH33" s="188">
        <v>0</v>
      </c>
      <c r="AI33" s="188"/>
    </row>
    <row r="34" spans="1:36" ht="18">
      <c r="A34" s="93"/>
      <c r="B34" s="93" t="s">
        <v>1533</v>
      </c>
      <c r="C34" s="80"/>
      <c r="D34" s="80"/>
      <c r="E34" s="80"/>
      <c r="F34" s="80">
        <v>3000000</v>
      </c>
      <c r="G34" s="88"/>
      <c r="H34" s="82"/>
      <c r="I34" s="79">
        <v>0</v>
      </c>
      <c r="J34" s="88"/>
      <c r="K34" s="85">
        <v>1600000</v>
      </c>
      <c r="L34" s="85">
        <f t="shared" si="7"/>
        <v>1600000</v>
      </c>
      <c r="M34" s="78"/>
      <c r="N34" s="78"/>
      <c r="O34" s="12"/>
      <c r="P34" s="13"/>
      <c r="Q34" s="269"/>
      <c r="R34" s="269"/>
      <c r="Z34" t="s">
        <v>1604</v>
      </c>
      <c r="AA34" s="188">
        <v>1500000</v>
      </c>
      <c r="AB34" s="188">
        <v>1638000</v>
      </c>
      <c r="AC34" s="188">
        <v>136000</v>
      </c>
      <c r="AD34" s="188">
        <v>76000</v>
      </c>
      <c r="AE34" s="188">
        <f>SUM(AA34:AD34)</f>
        <v>3350000</v>
      </c>
      <c r="AF34" s="188">
        <v>0</v>
      </c>
      <c r="AG34" s="188">
        <v>0</v>
      </c>
      <c r="AH34" s="188">
        <v>0</v>
      </c>
      <c r="AI34" s="188"/>
    </row>
    <row r="35" spans="1:36" ht="18">
      <c r="A35" s="93"/>
      <c r="B35" s="93"/>
      <c r="C35" s="80"/>
      <c r="D35" s="80"/>
      <c r="E35" s="80"/>
      <c r="F35" s="80"/>
      <c r="G35" s="88"/>
      <c r="H35" s="82"/>
      <c r="I35" s="86">
        <v>0</v>
      </c>
      <c r="J35" s="88"/>
      <c r="K35" s="975"/>
      <c r="L35" s="85">
        <f>K35</f>
        <v>0</v>
      </c>
      <c r="M35" s="78"/>
      <c r="N35" s="78"/>
      <c r="O35" s="12"/>
      <c r="P35" s="13" t="s">
        <v>442</v>
      </c>
      <c r="Q35" s="332">
        <f>114391230-Q36</f>
        <v>85793422.5</v>
      </c>
      <c r="R35" s="269">
        <f>Q35+Q36</f>
        <v>114391230</v>
      </c>
      <c r="S35" s="402"/>
      <c r="Z35" s="932" t="s">
        <v>1706</v>
      </c>
      <c r="AA35" s="188">
        <v>10000</v>
      </c>
      <c r="AB35" s="188">
        <v>0</v>
      </c>
      <c r="AC35" s="188">
        <v>0</v>
      </c>
      <c r="AD35" s="188">
        <v>5000</v>
      </c>
      <c r="AE35" s="188">
        <f t="shared" si="9"/>
        <v>15000</v>
      </c>
      <c r="AF35" s="188">
        <v>0</v>
      </c>
      <c r="AG35" s="188">
        <v>0</v>
      </c>
      <c r="AH35" s="188">
        <v>0</v>
      </c>
      <c r="AI35" s="188"/>
    </row>
    <row r="36" spans="1:36" ht="18">
      <c r="A36" s="100" t="s">
        <v>443</v>
      </c>
      <c r="B36" s="100"/>
      <c r="C36" s="80"/>
      <c r="D36" s="80"/>
      <c r="E36" s="80"/>
      <c r="F36" s="80"/>
      <c r="G36" s="88"/>
      <c r="H36" s="82"/>
      <c r="I36" s="79">
        <f>SUM(I25:I35)</f>
        <v>0</v>
      </c>
      <c r="J36" s="333"/>
      <c r="K36" s="334">
        <f>SUM(K25:K35)</f>
        <v>12305297</v>
      </c>
      <c r="L36" s="335">
        <f>SUM(L25:L35)</f>
        <v>12305297</v>
      </c>
      <c r="M36" s="103"/>
      <c r="N36" s="970"/>
      <c r="P36" s="13" t="s">
        <v>444</v>
      </c>
      <c r="Q36" s="332">
        <f>0.25*114391230</f>
        <v>28597807.5</v>
      </c>
      <c r="R36" s="269"/>
      <c r="T36">
        <f>80/309</f>
        <v>0.25889967637540451</v>
      </c>
      <c r="Z36" t="s">
        <v>337</v>
      </c>
      <c r="AA36" s="188">
        <v>0</v>
      </c>
      <c r="AB36" s="188">
        <v>0</v>
      </c>
      <c r="AC36" s="188">
        <v>50000</v>
      </c>
      <c r="AD36" s="188">
        <v>0</v>
      </c>
      <c r="AE36" s="188">
        <f>SUM(AA36:AD36)</f>
        <v>50000</v>
      </c>
      <c r="AF36" s="188">
        <v>0</v>
      </c>
      <c r="AG36" s="188">
        <v>0</v>
      </c>
      <c r="AH36" s="188">
        <v>0</v>
      </c>
      <c r="AI36" s="188"/>
    </row>
    <row r="37" spans="1:36" ht="18">
      <c r="A37" s="105"/>
      <c r="B37" s="106" t="s">
        <v>122</v>
      </c>
      <c r="C37" s="107"/>
      <c r="D37" s="107"/>
      <c r="E37" s="107"/>
      <c r="F37" s="121">
        <v>127820594</v>
      </c>
      <c r="G37" s="1749">
        <f>L37/F37-1</f>
        <v>8.5541618004059794E-2</v>
      </c>
      <c r="H37" s="109"/>
      <c r="I37" s="108">
        <f>I23+I36</f>
        <v>117872683.155</v>
      </c>
      <c r="J37" s="110">
        <f>J23+J36</f>
        <v>1902363</v>
      </c>
      <c r="K37" s="110">
        <f>K23+K36</f>
        <v>20881891.27</v>
      </c>
      <c r="L37" s="1660">
        <f>L23+L36</f>
        <v>138754574.42500001</v>
      </c>
      <c r="M37" s="111"/>
      <c r="N37" s="112"/>
      <c r="P37" s="13" t="s">
        <v>66</v>
      </c>
      <c r="Q37" s="8">
        <v>9566630.6400000006</v>
      </c>
      <c r="R37" s="269">
        <f>Q37</f>
        <v>9566630.6400000006</v>
      </c>
      <c r="Z37" t="s">
        <v>145</v>
      </c>
      <c r="AA37" s="188">
        <v>0</v>
      </c>
      <c r="AB37" s="188">
        <v>200000</v>
      </c>
      <c r="AC37" s="188">
        <v>0</v>
      </c>
      <c r="AD37" s="188">
        <v>0</v>
      </c>
      <c r="AE37" s="188">
        <f>SUM(AA37:AD37)</f>
        <v>200000</v>
      </c>
      <c r="AF37" s="188">
        <v>0</v>
      </c>
      <c r="AG37" s="188">
        <v>0</v>
      </c>
      <c r="AH37" s="188">
        <v>0</v>
      </c>
      <c r="AI37" s="188"/>
    </row>
    <row r="38" spans="1:36" s="42" customFormat="1" ht="18">
      <c r="A38" s="113" t="s">
        <v>123</v>
      </c>
      <c r="B38" s="113"/>
      <c r="C38" s="95"/>
      <c r="D38" s="95"/>
      <c r="E38" s="95"/>
      <c r="F38" s="95"/>
      <c r="G38" s="114"/>
      <c r="H38" s="109"/>
      <c r="I38" s="115"/>
      <c r="J38" s="114"/>
      <c r="K38" s="116"/>
      <c r="L38" s="115"/>
      <c r="M38" s="111"/>
      <c r="N38" s="112"/>
      <c r="O38"/>
      <c r="P38" s="13"/>
      <c r="R38" s="269"/>
      <c r="S38"/>
      <c r="Z38" t="s">
        <v>1707</v>
      </c>
      <c r="AA38" s="188">
        <f>1050000/2</f>
        <v>525000</v>
      </c>
      <c r="AB38" s="188">
        <v>525000</v>
      </c>
      <c r="AC38" s="188">
        <v>0</v>
      </c>
      <c r="AD38" s="188">
        <v>0</v>
      </c>
      <c r="AE38" s="188">
        <f>SUM(AA38:AD38)</f>
        <v>1050000</v>
      </c>
      <c r="AF38" s="188">
        <v>0</v>
      </c>
      <c r="AG38" s="188">
        <v>0</v>
      </c>
      <c r="AH38" s="188">
        <v>0</v>
      </c>
      <c r="AI38" s="188"/>
      <c r="AJ38"/>
    </row>
    <row r="39" spans="1:36" ht="18">
      <c r="A39" s="93" t="s">
        <v>124</v>
      </c>
      <c r="B39" s="93"/>
      <c r="C39" s="80"/>
      <c r="D39" s="80"/>
      <c r="E39" s="80"/>
      <c r="F39" s="80"/>
      <c r="G39" s="78"/>
      <c r="H39" s="118"/>
      <c r="I39" s="117">
        <f>R33</f>
        <v>296887633.51126897</v>
      </c>
      <c r="J39" s="80"/>
      <c r="K39" s="84">
        <v>0</v>
      </c>
      <c r="L39" s="78">
        <f>I39</f>
        <v>296887633.51126897</v>
      </c>
      <c r="M39" s="81"/>
      <c r="N39" s="78"/>
      <c r="P39" s="336" t="s">
        <v>445</v>
      </c>
      <c r="Q39" s="1902">
        <v>-44311742.948744439</v>
      </c>
      <c r="R39" s="632">
        <f>Q39</f>
        <v>-44311742.948744439</v>
      </c>
      <c r="Z39" t="s">
        <v>353</v>
      </c>
      <c r="AA39" s="188">
        <v>0</v>
      </c>
      <c r="AB39" s="188">
        <v>0</v>
      </c>
      <c r="AC39" s="188">
        <v>0</v>
      </c>
      <c r="AD39" s="188">
        <v>45000</v>
      </c>
      <c r="AE39" s="188">
        <f>SUM(AA39:AD39)</f>
        <v>45000</v>
      </c>
      <c r="AF39" s="188">
        <v>0</v>
      </c>
      <c r="AG39" s="188">
        <v>0</v>
      </c>
      <c r="AH39" s="188">
        <v>0</v>
      </c>
      <c r="AI39" s="188"/>
    </row>
    <row r="40" spans="1:36" ht="18">
      <c r="A40" s="93" t="s">
        <v>125</v>
      </c>
      <c r="B40" s="93"/>
      <c r="C40" s="80"/>
      <c r="D40" s="80"/>
      <c r="E40" s="80"/>
      <c r="F40" s="80"/>
      <c r="G40" s="78"/>
      <c r="H40" s="118"/>
      <c r="I40" s="117">
        <f>R35</f>
        <v>114391230</v>
      </c>
      <c r="J40" s="80"/>
      <c r="K40" s="337"/>
      <c r="L40" s="78">
        <f>R35</f>
        <v>114391230</v>
      </c>
      <c r="M40" s="81"/>
      <c r="N40" s="78"/>
      <c r="P40" s="13"/>
      <c r="Q40" s="1662"/>
      <c r="Z40" t="s">
        <v>1708</v>
      </c>
      <c r="AA40" s="188">
        <v>0</v>
      </c>
      <c r="AB40" s="188">
        <v>0</v>
      </c>
      <c r="AC40" s="188">
        <v>0</v>
      </c>
      <c r="AD40" s="188">
        <v>0</v>
      </c>
      <c r="AE40" s="188">
        <f>SUM(AA40:AD40)</f>
        <v>0</v>
      </c>
      <c r="AF40" s="188">
        <v>0</v>
      </c>
      <c r="AG40" s="188">
        <v>0</v>
      </c>
      <c r="AH40" s="188">
        <v>150000</v>
      </c>
      <c r="AI40" s="188"/>
    </row>
    <row r="41" spans="1:36" ht="18.75" thickBot="1">
      <c r="A41" s="95" t="s">
        <v>126</v>
      </c>
      <c r="B41" s="93"/>
      <c r="C41" s="80"/>
      <c r="D41" s="80"/>
      <c r="E41" s="80"/>
      <c r="F41" s="80"/>
      <c r="G41" s="78"/>
      <c r="H41" s="118"/>
      <c r="I41" s="338">
        <f>R37</f>
        <v>9566630.6400000006</v>
      </c>
      <c r="J41" s="87"/>
      <c r="K41" s="339"/>
      <c r="L41" s="78">
        <f>I41</f>
        <v>9566630.6400000006</v>
      </c>
      <c r="M41" s="81"/>
      <c r="N41" s="78"/>
      <c r="P41" s="340" t="s">
        <v>446</v>
      </c>
      <c r="Q41" s="341">
        <f>SUM(Q27:Q39)</f>
        <v>376533751.20252454</v>
      </c>
      <c r="R41" s="341">
        <f>SUM(R27:R39)</f>
        <v>376533751.20252454</v>
      </c>
      <c r="Z41" t="s">
        <v>58</v>
      </c>
      <c r="AA41" s="188">
        <v>0</v>
      </c>
      <c r="AB41" s="188">
        <v>792000</v>
      </c>
      <c r="AC41" s="188">
        <v>240000</v>
      </c>
      <c r="AD41" s="188">
        <v>10000</v>
      </c>
      <c r="AE41" s="188">
        <f t="shared" si="9"/>
        <v>1042000</v>
      </c>
      <c r="AF41" s="188">
        <v>0</v>
      </c>
      <c r="AG41" s="188">
        <v>0</v>
      </c>
      <c r="AH41" s="188">
        <v>0</v>
      </c>
      <c r="AI41" s="188"/>
    </row>
    <row r="42" spans="1:36" ht="18.75" thickTop="1">
      <c r="A42" s="1163" t="s">
        <v>1164</v>
      </c>
      <c r="B42" s="93"/>
      <c r="C42" s="80"/>
      <c r="D42" s="80"/>
      <c r="E42" s="80"/>
      <c r="F42" s="80"/>
      <c r="G42" s="78"/>
      <c r="H42" s="118"/>
      <c r="I42" s="338"/>
      <c r="J42" s="87"/>
      <c r="K42" s="339"/>
      <c r="L42" s="78">
        <f>'What If Data'!F63</f>
        <v>0</v>
      </c>
      <c r="M42" s="81"/>
      <c r="N42" s="78"/>
      <c r="P42" s="1161"/>
      <c r="Q42" s="1162"/>
      <c r="R42" s="1162"/>
      <c r="Z42" s="932" t="s">
        <v>1709</v>
      </c>
      <c r="AA42" s="188">
        <v>0</v>
      </c>
      <c r="AB42" s="188">
        <v>0</v>
      </c>
      <c r="AC42" s="188">
        <v>20000</v>
      </c>
      <c r="AD42" s="188">
        <v>0</v>
      </c>
      <c r="AE42" s="188">
        <f t="shared" si="9"/>
        <v>20000</v>
      </c>
      <c r="AF42" s="188">
        <v>0</v>
      </c>
      <c r="AG42" s="188">
        <v>0</v>
      </c>
      <c r="AH42" s="188">
        <v>0</v>
      </c>
      <c r="AI42" s="188"/>
    </row>
    <row r="43" spans="1:36" ht="18">
      <c r="A43" s="120"/>
      <c r="B43" s="106" t="s">
        <v>127</v>
      </c>
      <c r="C43" s="121"/>
      <c r="D43" s="121"/>
      <c r="E43" s="121"/>
      <c r="F43" s="121">
        <f>413500000-7200000</f>
        <v>406300000</v>
      </c>
      <c r="G43" s="1749">
        <f>L43/F43-1</f>
        <v>3.5799887155473664E-2</v>
      </c>
      <c r="H43" s="118"/>
      <c r="I43" s="122">
        <f>SUM(I39:I42)</f>
        <v>420845494.15126896</v>
      </c>
      <c r="J43" s="342"/>
      <c r="K43" s="123">
        <f>SUM(K39:K41)</f>
        <v>0</v>
      </c>
      <c r="L43" s="1661">
        <f>SUM(L39:L42)</f>
        <v>420845494.15126896</v>
      </c>
      <c r="M43" s="90"/>
      <c r="N43" s="88"/>
      <c r="Q43" s="12">
        <f>SUM(Q27:Q33)</f>
        <v>296887633.51126897</v>
      </c>
      <c r="Z43" s="932" t="s">
        <v>1710</v>
      </c>
      <c r="AA43" s="188">
        <v>385000</v>
      </c>
      <c r="AB43" s="188">
        <v>0</v>
      </c>
      <c r="AC43" s="188">
        <v>0</v>
      </c>
      <c r="AD43" s="188">
        <v>0</v>
      </c>
      <c r="AE43" s="188">
        <f t="shared" si="9"/>
        <v>385000</v>
      </c>
      <c r="AF43" s="188">
        <v>0</v>
      </c>
      <c r="AG43" s="188">
        <v>0</v>
      </c>
      <c r="AH43" s="188">
        <v>0</v>
      </c>
      <c r="AI43" s="188"/>
    </row>
    <row r="44" spans="1:36" ht="18">
      <c r="A44" s="93"/>
      <c r="B44" s="100"/>
      <c r="C44" s="80"/>
      <c r="D44" s="80"/>
      <c r="E44" s="80"/>
      <c r="F44" s="80"/>
      <c r="G44" s="78"/>
      <c r="H44" s="118"/>
      <c r="I44" s="101"/>
      <c r="J44" s="80"/>
      <c r="K44" s="102"/>
      <c r="L44" s="101"/>
      <c r="M44" s="90"/>
      <c r="N44" s="88"/>
      <c r="Q44" s="12">
        <f>SUM(Q27:Q37)</f>
        <v>420845494.15126896</v>
      </c>
      <c r="Z44" s="1742" t="s">
        <v>58</v>
      </c>
      <c r="AA44" s="848">
        <f>+AA41+AA42+AA43</f>
        <v>385000</v>
      </c>
      <c r="AB44" s="848">
        <f t="shared" ref="AB44:AH44" si="10">+AB41+AB42+AB43</f>
        <v>792000</v>
      </c>
      <c r="AC44" s="848">
        <f t="shared" si="10"/>
        <v>260000</v>
      </c>
      <c r="AD44" s="848">
        <f t="shared" si="10"/>
        <v>10000</v>
      </c>
      <c r="AE44" s="848">
        <f>+AE41+AE42+AE43</f>
        <v>1447000</v>
      </c>
      <c r="AF44" s="848">
        <f t="shared" si="10"/>
        <v>0</v>
      </c>
      <c r="AG44" s="848">
        <f t="shared" si="10"/>
        <v>0</v>
      </c>
      <c r="AH44" s="848">
        <f t="shared" si="10"/>
        <v>0</v>
      </c>
      <c r="AI44" s="188"/>
    </row>
    <row r="45" spans="1:36" ht="18">
      <c r="A45" s="105"/>
      <c r="B45" s="106" t="s">
        <v>128</v>
      </c>
      <c r="C45" s="121"/>
      <c r="D45" s="121"/>
      <c r="E45" s="121"/>
      <c r="F45" s="121">
        <v>-41000000</v>
      </c>
      <c r="G45" s="1749">
        <f>L45/F45-1</f>
        <v>8.0774219512195211E-2</v>
      </c>
      <c r="H45" s="118"/>
      <c r="I45" s="122">
        <v>-44311743</v>
      </c>
      <c r="J45" s="121"/>
      <c r="K45" s="124">
        <v>0</v>
      </c>
      <c r="L45" s="1661">
        <f>SUM(I45:K45)</f>
        <v>-44311743</v>
      </c>
      <c r="M45" s="90"/>
      <c r="N45" s="88"/>
      <c r="T45" s="57"/>
      <c r="U45" s="57"/>
      <c r="V45" s="57"/>
      <c r="W45" s="57"/>
      <c r="X45" s="57"/>
      <c r="Y45" s="57"/>
      <c r="Z45" s="380" t="s">
        <v>1711</v>
      </c>
      <c r="AA45" s="848">
        <v>1500000</v>
      </c>
      <c r="AB45" s="848">
        <v>0</v>
      </c>
      <c r="AC45" s="848">
        <v>400000</v>
      </c>
      <c r="AD45" s="848">
        <v>0</v>
      </c>
      <c r="AE45" s="848">
        <f t="shared" si="9"/>
        <v>1900000</v>
      </c>
      <c r="AF45" s="848">
        <v>0</v>
      </c>
      <c r="AG45" s="848">
        <v>0</v>
      </c>
      <c r="AH45" s="848">
        <v>0</v>
      </c>
      <c r="AI45" s="188"/>
    </row>
    <row r="46" spans="1:36" s="42" customFormat="1" ht="18.75" thickBot="1">
      <c r="A46" s="113" t="s">
        <v>129</v>
      </c>
      <c r="B46" s="113"/>
      <c r="C46" s="78"/>
      <c r="D46" s="78"/>
      <c r="E46" s="78"/>
      <c r="F46" s="78"/>
      <c r="G46" s="78"/>
      <c r="H46" s="118"/>
      <c r="I46" s="89"/>
      <c r="J46" s="126"/>
      <c r="K46" s="127"/>
      <c r="L46" s="128"/>
      <c r="M46" s="88"/>
      <c r="N46" s="88"/>
      <c r="O46"/>
      <c r="P46" s="152"/>
      <c r="Q46" s="628" t="s">
        <v>632</v>
      </c>
      <c r="R46" s="628" t="s">
        <v>478</v>
      </c>
      <c r="T46" s="57"/>
      <c r="U46" s="57"/>
      <c r="V46" s="57"/>
      <c r="W46" s="57"/>
      <c r="X46" s="57"/>
      <c r="Y46" s="57"/>
      <c r="Z46" s="932" t="s">
        <v>1712</v>
      </c>
      <c r="AA46" s="188">
        <v>225000</v>
      </c>
      <c r="AB46" s="188">
        <v>0</v>
      </c>
      <c r="AC46" s="188">
        <v>200000</v>
      </c>
      <c r="AD46" s="188">
        <v>35000</v>
      </c>
      <c r="AE46" s="188">
        <f t="shared" si="9"/>
        <v>460000</v>
      </c>
      <c r="AF46" s="188">
        <v>0</v>
      </c>
      <c r="AG46" s="188">
        <v>0</v>
      </c>
      <c r="AH46" s="188">
        <v>0</v>
      </c>
      <c r="AI46" s="188"/>
      <c r="AJ46"/>
    </row>
    <row r="47" spans="1:36" ht="18.75" thickTop="1">
      <c r="A47" s="93" t="s">
        <v>130</v>
      </c>
      <c r="B47" s="93"/>
      <c r="C47" s="80"/>
      <c r="D47" s="80"/>
      <c r="E47" s="80"/>
      <c r="F47" s="80"/>
      <c r="G47" s="78"/>
      <c r="H47" s="118"/>
      <c r="I47" s="79">
        <v>0</v>
      </c>
      <c r="J47" s="80"/>
      <c r="K47" s="972">
        <v>3160317</v>
      </c>
      <c r="L47" s="1038">
        <f>I47+K47</f>
        <v>3160317</v>
      </c>
      <c r="M47" s="78"/>
      <c r="N47" s="78"/>
      <c r="O47" s="1027"/>
      <c r="P47" s="148" t="s">
        <v>1333</v>
      </c>
      <c r="Q47" s="625">
        <v>0.13100000000000001</v>
      </c>
      <c r="R47" s="971"/>
      <c r="T47" s="57"/>
      <c r="U47" s="57"/>
      <c r="V47" s="57"/>
      <c r="W47" s="57"/>
      <c r="X47" s="57"/>
      <c r="Y47" s="57"/>
      <c r="Z47" s="932" t="s">
        <v>1713</v>
      </c>
      <c r="AA47" s="188">
        <v>0</v>
      </c>
      <c r="AB47" s="188">
        <v>0</v>
      </c>
      <c r="AC47" s="188">
        <v>50000</v>
      </c>
      <c r="AD47" s="188">
        <v>30000</v>
      </c>
      <c r="AE47" s="188">
        <f t="shared" si="9"/>
        <v>80000</v>
      </c>
      <c r="AF47" s="188">
        <v>0</v>
      </c>
      <c r="AG47" s="188">
        <v>0</v>
      </c>
      <c r="AH47" s="188">
        <v>0</v>
      </c>
      <c r="AI47" s="188"/>
    </row>
    <row r="48" spans="1:36" ht="18">
      <c r="A48" s="93" t="s">
        <v>131</v>
      </c>
      <c r="B48" s="93"/>
      <c r="C48" s="80"/>
      <c r="D48" s="80"/>
      <c r="E48" s="80"/>
      <c r="F48" s="80"/>
      <c r="G48" s="78"/>
      <c r="H48" s="118"/>
      <c r="I48" s="86">
        <v>0</v>
      </c>
      <c r="J48" s="80"/>
      <c r="K48" s="1657">
        <v>7510000</v>
      </c>
      <c r="L48" s="1039">
        <f>I48+K48</f>
        <v>7510000</v>
      </c>
      <c r="M48" s="78"/>
      <c r="N48" s="78"/>
      <c r="O48" s="1027"/>
      <c r="P48" s="149" t="s">
        <v>1334</v>
      </c>
      <c r="Q48" s="627">
        <f>Q47</f>
        <v>0.13100000000000001</v>
      </c>
      <c r="R48" s="626">
        <f>-Q48*Q27</f>
        <v>-14407532.594192615</v>
      </c>
      <c r="T48" s="57"/>
      <c r="U48" s="57"/>
      <c r="V48" s="57"/>
      <c r="W48" s="57"/>
      <c r="X48" s="57"/>
      <c r="Y48" s="57"/>
      <c r="Z48" s="932" t="s">
        <v>1714</v>
      </c>
      <c r="AA48" s="188">
        <v>0</v>
      </c>
      <c r="AB48" s="188">
        <v>0</v>
      </c>
      <c r="AC48" s="188">
        <v>5000</v>
      </c>
      <c r="AD48" s="188">
        <v>0</v>
      </c>
      <c r="AE48" s="188">
        <f t="shared" si="9"/>
        <v>5000</v>
      </c>
      <c r="AF48" s="188">
        <v>0</v>
      </c>
      <c r="AG48" s="188">
        <v>0</v>
      </c>
      <c r="AH48" s="188">
        <v>0</v>
      </c>
      <c r="AI48" s="188"/>
    </row>
    <row r="49" spans="1:36" ht="18">
      <c r="A49" s="120"/>
      <c r="B49" s="106" t="s">
        <v>132</v>
      </c>
      <c r="C49" s="121"/>
      <c r="D49" s="121"/>
      <c r="E49" s="121"/>
      <c r="F49" s="121">
        <v>12634123</v>
      </c>
      <c r="G49" s="1749">
        <f>L49/F49-1</f>
        <v>-0.15543666940712864</v>
      </c>
      <c r="H49" s="109"/>
      <c r="I49" s="129">
        <f>SUM(I47:I48)</f>
        <v>0</v>
      </c>
      <c r="J49" s="130">
        <f>SUM(J47:J48)</f>
        <v>0</v>
      </c>
      <c r="K49" s="131">
        <f>SUM(K47:K48)</f>
        <v>10670317</v>
      </c>
      <c r="L49" s="1663">
        <f>SUM(L47:L48)</f>
        <v>10670317</v>
      </c>
      <c r="M49" s="90"/>
      <c r="N49" s="88"/>
      <c r="P49" s="149" t="s">
        <v>631</v>
      </c>
      <c r="Q49" s="627">
        <f>Q48</f>
        <v>0.13100000000000001</v>
      </c>
      <c r="R49" s="626">
        <f>-Q49*Q28</f>
        <v>-16179300.51974866</v>
      </c>
      <c r="T49" s="57"/>
      <c r="U49" s="57"/>
      <c r="V49" s="57"/>
      <c r="W49" s="57"/>
      <c r="X49" s="57"/>
      <c r="Y49" s="57"/>
      <c r="Z49" s="932" t="s">
        <v>1715</v>
      </c>
      <c r="AA49" s="188">
        <v>0</v>
      </c>
      <c r="AB49" s="188">
        <v>0</v>
      </c>
      <c r="AC49" s="188">
        <v>0</v>
      </c>
      <c r="AD49" s="188">
        <v>75000</v>
      </c>
      <c r="AE49" s="188">
        <f t="shared" si="9"/>
        <v>75000</v>
      </c>
      <c r="AF49" s="188">
        <v>0</v>
      </c>
      <c r="AG49" s="188">
        <v>0</v>
      </c>
      <c r="AH49" s="188">
        <v>0</v>
      </c>
      <c r="AI49" s="188"/>
    </row>
    <row r="50" spans="1:36" s="42" customFormat="1" ht="18">
      <c r="A50" s="113" t="s">
        <v>133</v>
      </c>
      <c r="B50" s="113"/>
      <c r="C50" s="78"/>
      <c r="D50" s="78"/>
      <c r="E50" s="78"/>
      <c r="F50" s="78"/>
      <c r="G50" s="78"/>
      <c r="H50" s="109"/>
      <c r="I50" s="132"/>
      <c r="J50" s="78"/>
      <c r="K50" s="133"/>
      <c r="L50" s="91"/>
      <c r="M50" s="90"/>
      <c r="N50" s="88"/>
      <c r="O50"/>
      <c r="P50" s="149" t="s">
        <v>1335</v>
      </c>
      <c r="Q50" s="627">
        <f>Q49</f>
        <v>0.13100000000000001</v>
      </c>
      <c r="R50" s="626">
        <f>-Q50*(Q33+Q37+Q35)*0.95</f>
        <v>-12049028.6607772</v>
      </c>
      <c r="T50" s="57"/>
      <c r="U50" s="57"/>
      <c r="V50" s="57"/>
      <c r="W50" s="57"/>
      <c r="X50" s="57"/>
      <c r="Y50" s="57"/>
      <c r="Z50" s="932" t="s">
        <v>1716</v>
      </c>
      <c r="AA50" s="188">
        <v>0</v>
      </c>
      <c r="AB50" s="188">
        <v>0</v>
      </c>
      <c r="AC50" s="188">
        <v>20000</v>
      </c>
      <c r="AD50" s="188">
        <v>50000</v>
      </c>
      <c r="AE50" s="188">
        <f t="shared" si="9"/>
        <v>70000</v>
      </c>
      <c r="AF50" s="188">
        <v>0</v>
      </c>
      <c r="AG50" s="188">
        <v>0</v>
      </c>
      <c r="AH50" s="188">
        <v>0</v>
      </c>
      <c r="AI50" s="188"/>
      <c r="AJ50"/>
    </row>
    <row r="51" spans="1:36" ht="18">
      <c r="A51" s="93"/>
      <c r="B51" s="93" t="s">
        <v>447</v>
      </c>
      <c r="C51" s="80"/>
      <c r="D51" s="80"/>
      <c r="E51" s="80"/>
      <c r="F51" s="80"/>
      <c r="G51" s="78"/>
      <c r="H51" s="118"/>
      <c r="I51" s="973"/>
      <c r="J51" s="974">
        <v>11960600</v>
      </c>
      <c r="K51" s="974">
        <v>43860000</v>
      </c>
      <c r="L51" s="974">
        <v>43860000</v>
      </c>
      <c r="M51" s="81"/>
      <c r="N51" s="78"/>
      <c r="P51" s="149" t="s">
        <v>633</v>
      </c>
      <c r="Q51" s="148"/>
      <c r="R51" s="626">
        <v>-1700000</v>
      </c>
      <c r="T51" s="57"/>
      <c r="U51" s="57"/>
      <c r="V51" s="57"/>
      <c r="W51" s="57"/>
      <c r="X51" s="57"/>
      <c r="Y51" s="57"/>
      <c r="Z51" s="1742" t="s">
        <v>59</v>
      </c>
      <c r="AA51" s="848">
        <f>SUM(AA46:AA50)</f>
        <v>225000</v>
      </c>
      <c r="AB51" s="848">
        <f t="shared" ref="AB51:AH51" si="11">SUM(AB46:AB50)</f>
        <v>0</v>
      </c>
      <c r="AC51" s="848">
        <f t="shared" si="11"/>
        <v>275000</v>
      </c>
      <c r="AD51" s="848">
        <f t="shared" si="11"/>
        <v>190000</v>
      </c>
      <c r="AE51" s="848">
        <f t="shared" si="11"/>
        <v>690000</v>
      </c>
      <c r="AF51" s="848">
        <f t="shared" si="11"/>
        <v>0</v>
      </c>
      <c r="AG51" s="848">
        <f t="shared" si="11"/>
        <v>0</v>
      </c>
      <c r="AH51" s="848">
        <f t="shared" si="11"/>
        <v>0</v>
      </c>
      <c r="AI51" s="188"/>
    </row>
    <row r="52" spans="1:36" ht="18">
      <c r="A52" s="93"/>
      <c r="B52" s="1664" t="s">
        <v>1623</v>
      </c>
      <c r="C52" s="1665"/>
      <c r="D52" s="1665"/>
      <c r="E52" s="1665"/>
      <c r="F52" s="1665"/>
      <c r="G52" s="1665"/>
      <c r="H52" s="1666"/>
      <c r="I52" s="1667"/>
      <c r="J52" s="1668"/>
      <c r="K52" s="1668">
        <v>0</v>
      </c>
      <c r="L52" s="1668"/>
      <c r="M52" s="81"/>
      <c r="N52" s="78"/>
      <c r="O52" s="12"/>
      <c r="P52" s="629" t="s">
        <v>11</v>
      </c>
      <c r="Q52" s="630"/>
      <c r="R52" s="631">
        <f>R47+R48+R49+R51+R50</f>
        <v>-44335861.774718478</v>
      </c>
      <c r="T52" s="48"/>
      <c r="U52" s="48"/>
      <c r="V52" s="48"/>
      <c r="W52" s="48"/>
      <c r="X52" s="48"/>
      <c r="Y52" s="48"/>
      <c r="Z52" s="932" t="s">
        <v>1427</v>
      </c>
      <c r="AA52" s="188">
        <v>0</v>
      </c>
      <c r="AB52" s="188">
        <v>0</v>
      </c>
      <c r="AC52" s="188">
        <v>3000000</v>
      </c>
      <c r="AD52" s="188">
        <v>650000</v>
      </c>
      <c r="AE52" s="188">
        <f t="shared" si="9"/>
        <v>3650000</v>
      </c>
      <c r="AF52" s="188">
        <v>0</v>
      </c>
      <c r="AG52" s="188">
        <v>0</v>
      </c>
      <c r="AH52" s="188">
        <v>0</v>
      </c>
      <c r="AI52" s="1743"/>
      <c r="AJ52" s="1743"/>
    </row>
    <row r="53" spans="1:36" ht="18">
      <c r="B53" s="93" t="s">
        <v>1221</v>
      </c>
      <c r="C53" s="80"/>
      <c r="D53" s="80"/>
      <c r="E53" s="80"/>
      <c r="F53" s="80"/>
      <c r="G53" s="78"/>
      <c r="H53" s="118"/>
      <c r="I53" s="134">
        <v>0</v>
      </c>
      <c r="J53" s="976"/>
      <c r="K53" s="972">
        <v>16579000</v>
      </c>
      <c r="L53" s="974">
        <f>SUM(I53,K53)</f>
        <v>16579000</v>
      </c>
      <c r="M53" s="81"/>
      <c r="N53" s="78"/>
      <c r="O53" s="12"/>
      <c r="T53" s="57"/>
      <c r="U53" s="57"/>
      <c r="V53" s="57"/>
      <c r="W53" s="57"/>
      <c r="X53" s="57"/>
      <c r="Y53" s="57"/>
      <c r="Z53" s="1744" t="s">
        <v>1717</v>
      </c>
      <c r="AA53" s="1745">
        <f>SUM(AA33:AA40)+AA44+AA45+AA51+AA52</f>
        <v>4145000</v>
      </c>
      <c r="AB53" s="1745">
        <f t="shared" ref="AB53:AH53" si="12">SUM(AB33:AB40)+AB44+AB45+AB51+AB52</f>
        <v>3155000</v>
      </c>
      <c r="AC53" s="1745">
        <f t="shared" si="12"/>
        <v>4130000</v>
      </c>
      <c r="AD53" s="1745">
        <f t="shared" si="12"/>
        <v>976000</v>
      </c>
      <c r="AE53" s="1745">
        <f t="shared" si="12"/>
        <v>12406000</v>
      </c>
      <c r="AF53" s="1745">
        <f t="shared" si="12"/>
        <v>0</v>
      </c>
      <c r="AG53" s="1745">
        <f t="shared" si="12"/>
        <v>0</v>
      </c>
      <c r="AH53" s="1745">
        <f t="shared" si="12"/>
        <v>150000</v>
      </c>
    </row>
    <row r="54" spans="1:36" ht="18">
      <c r="A54" s="93"/>
      <c r="B54" s="93" t="s">
        <v>1222</v>
      </c>
      <c r="C54" s="80"/>
      <c r="D54" s="80"/>
      <c r="E54" s="80"/>
      <c r="F54" s="80"/>
      <c r="G54" s="78"/>
      <c r="H54" s="118"/>
      <c r="I54" s="134">
        <v>0</v>
      </c>
      <c r="J54" s="976"/>
      <c r="K54" s="1658">
        <v>3346000</v>
      </c>
      <c r="L54" s="974">
        <f>K54</f>
        <v>3346000</v>
      </c>
      <c r="M54" s="81"/>
      <c r="N54" s="78"/>
      <c r="P54" s="12"/>
      <c r="Q54" s="1625"/>
      <c r="T54" s="57"/>
      <c r="U54" s="57"/>
      <c r="V54" s="57"/>
      <c r="W54" s="57"/>
      <c r="X54" s="57"/>
      <c r="Y54" s="57"/>
      <c r="AA54" s="380"/>
      <c r="AB54" s="380"/>
      <c r="AC54" s="380"/>
      <c r="AD54" s="380"/>
    </row>
    <row r="55" spans="1:36" ht="18.75" thickBot="1">
      <c r="A55" s="93" t="s">
        <v>171</v>
      </c>
      <c r="B55" s="93" t="s">
        <v>134</v>
      </c>
      <c r="C55" s="80"/>
      <c r="D55" s="80"/>
      <c r="E55" s="80"/>
      <c r="F55" s="80"/>
      <c r="G55" s="78"/>
      <c r="H55" s="118"/>
      <c r="I55" s="977">
        <v>6600000</v>
      </c>
      <c r="J55" s="976"/>
      <c r="K55" s="972">
        <v>0</v>
      </c>
      <c r="L55" s="974">
        <f>I55+K55</f>
        <v>6600000</v>
      </c>
      <c r="M55" s="81"/>
      <c r="N55" s="78"/>
      <c r="Q55" s="12"/>
      <c r="T55" s="57"/>
      <c r="U55" s="57"/>
      <c r="V55" s="57"/>
      <c r="W55" s="57"/>
      <c r="X55" s="57"/>
      <c r="Y55" s="57"/>
      <c r="Z55" s="1744" t="s">
        <v>405</v>
      </c>
      <c r="AA55" s="1746">
        <f t="shared" ref="AA55:AH55" si="13">+AA30+AA53</f>
        <v>7510000</v>
      </c>
      <c r="AB55" s="1746">
        <f t="shared" si="13"/>
        <v>3155000</v>
      </c>
      <c r="AC55" s="1746">
        <f t="shared" si="13"/>
        <v>16579000</v>
      </c>
      <c r="AD55" s="1746">
        <f t="shared" si="13"/>
        <v>3086000</v>
      </c>
      <c r="AE55" s="1747">
        <f t="shared" si="13"/>
        <v>30330000</v>
      </c>
      <c r="AF55" s="1747">
        <f t="shared" si="13"/>
        <v>55565340</v>
      </c>
      <c r="AG55" s="1747">
        <f t="shared" si="13"/>
        <v>5736989</v>
      </c>
      <c r="AH55" s="1747">
        <f t="shared" si="13"/>
        <v>11950500</v>
      </c>
    </row>
    <row r="56" spans="1:36" ht="18.75" thickTop="1">
      <c r="A56" s="93"/>
      <c r="B56" s="93" t="s">
        <v>135</v>
      </c>
      <c r="C56" s="80"/>
      <c r="D56" s="80"/>
      <c r="E56" s="80"/>
      <c r="F56" s="80"/>
      <c r="G56" s="78"/>
      <c r="H56" s="118"/>
      <c r="I56" s="977">
        <v>1072584</v>
      </c>
      <c r="J56" s="976"/>
      <c r="K56" s="972">
        <v>0</v>
      </c>
      <c r="L56" s="974">
        <v>1072584</v>
      </c>
      <c r="M56" s="81"/>
      <c r="N56" s="78"/>
      <c r="T56" s="57"/>
      <c r="U56" s="57"/>
      <c r="V56" s="57"/>
      <c r="W56" s="57"/>
      <c r="X56" s="57"/>
      <c r="Y56" s="57"/>
    </row>
    <row r="57" spans="1:36" ht="18">
      <c r="A57" s="120"/>
      <c r="B57" s="106" t="s">
        <v>136</v>
      </c>
      <c r="C57" s="121"/>
      <c r="D57" s="121"/>
      <c r="E57" s="121"/>
      <c r="F57" s="121">
        <v>68678661</v>
      </c>
      <c r="G57" s="1749">
        <f>L57/F57-1</f>
        <v>4.0462684617569966E-2</v>
      </c>
      <c r="H57" s="118"/>
      <c r="I57" s="122">
        <f>SUM(I51:I56)</f>
        <v>7672584</v>
      </c>
      <c r="J57" s="121"/>
      <c r="K57" s="122">
        <f>SUM(K51:K56)</f>
        <v>63785000</v>
      </c>
      <c r="L57" s="1661">
        <f>SUM(L51:L56)</f>
        <v>71457584</v>
      </c>
      <c r="M57" s="90"/>
      <c r="N57" s="88"/>
      <c r="O57" s="12"/>
      <c r="T57" s="57"/>
      <c r="U57" s="57"/>
      <c r="V57" s="57"/>
      <c r="W57" s="57"/>
      <c r="X57" s="57"/>
      <c r="Y57" s="57"/>
    </row>
    <row r="58" spans="1:36" ht="18">
      <c r="A58" s="93"/>
      <c r="B58" s="93"/>
      <c r="C58" s="80"/>
      <c r="D58" s="80"/>
      <c r="E58" s="80"/>
      <c r="F58" s="80"/>
      <c r="G58" s="78"/>
      <c r="H58" s="118"/>
      <c r="I58" s="117"/>
      <c r="J58" s="80"/>
      <c r="K58" s="84"/>
      <c r="L58" s="135"/>
      <c r="M58" s="136"/>
      <c r="N58" s="95"/>
      <c r="O58" s="12"/>
      <c r="P58" s="12">
        <f>SUM(L43,L45,L49)</f>
        <v>387204068.15126896</v>
      </c>
      <c r="T58" s="57"/>
      <c r="U58" s="57"/>
      <c r="V58" s="57"/>
      <c r="W58" s="57"/>
      <c r="X58" s="57"/>
      <c r="Y58" s="57"/>
    </row>
    <row r="59" spans="1:36" ht="18">
      <c r="A59" s="105" t="s">
        <v>137</v>
      </c>
      <c r="B59" s="107"/>
      <c r="C59" s="121"/>
      <c r="D59" s="121"/>
      <c r="E59" s="121"/>
      <c r="F59" s="121">
        <f>581633377-7200000</f>
        <v>574433377</v>
      </c>
      <c r="G59" s="1749">
        <f>L59/F59-1</f>
        <v>4.000959988832431E-2</v>
      </c>
      <c r="H59" s="118"/>
      <c r="I59" s="122">
        <f>+I37+I43+I45+I49+I57</f>
        <v>502079018.30626893</v>
      </c>
      <c r="J59" s="121"/>
      <c r="K59" s="123">
        <f>+K37+K43+K45+K49+K57</f>
        <v>95337208.269999996</v>
      </c>
      <c r="L59" s="130">
        <f>+L37+L43+L45+L49+L57</f>
        <v>597416226.57626891</v>
      </c>
      <c r="M59" s="137"/>
      <c r="N59" s="138"/>
      <c r="T59" s="57"/>
      <c r="U59" s="57"/>
      <c r="V59" s="57"/>
      <c r="W59" s="57"/>
      <c r="X59" s="57"/>
      <c r="Y59" s="57"/>
    </row>
    <row r="60" spans="1:36" ht="16.5">
      <c r="A60" s="58"/>
      <c r="B60" s="73"/>
      <c r="C60" s="139"/>
      <c r="D60" s="139"/>
      <c r="E60" s="139"/>
      <c r="F60" s="139"/>
      <c r="G60" s="139"/>
      <c r="H60" s="43"/>
      <c r="I60" s="42"/>
      <c r="J60" s="42"/>
      <c r="K60" s="12"/>
      <c r="M60" s="43"/>
      <c r="N60" s="43"/>
      <c r="T60" s="43"/>
      <c r="U60" s="43"/>
      <c r="V60" s="43"/>
      <c r="W60" s="43"/>
      <c r="X60" s="43"/>
      <c r="Y60" s="43"/>
    </row>
    <row r="61" spans="1:36" ht="18">
      <c r="I61" s="98"/>
      <c r="J61" s="98"/>
      <c r="K61" s="1642" t="s">
        <v>1216</v>
      </c>
      <c r="L61" s="125">
        <v>581633377</v>
      </c>
      <c r="M61" s="125"/>
      <c r="N61" s="125"/>
      <c r="P61" s="12"/>
      <c r="S61" s="78"/>
      <c r="T61" s="49"/>
      <c r="U61" s="49"/>
      <c r="V61" s="49"/>
      <c r="W61" s="49"/>
      <c r="X61" s="49"/>
      <c r="Y61" s="49"/>
    </row>
    <row r="62" spans="1:36" ht="18">
      <c r="D62" t="s">
        <v>1722</v>
      </c>
      <c r="F62">
        <f>479144051-20791635-10000000</f>
        <v>448352416</v>
      </c>
      <c r="G62" s="1760">
        <f>I62/F62-1</f>
        <v>4.0414636995075748E-2</v>
      </c>
      <c r="I62" s="1759">
        <f>SUM(I37,I43,I45,I57)-'Step 1 Dedicated Funds'!Q59-13000000</f>
        <v>466472416.13850516</v>
      </c>
      <c r="J62" s="98"/>
      <c r="K62" s="343"/>
      <c r="L62" s="1642">
        <f>L59/L61-1</f>
        <v>2.7135391812751708E-2</v>
      </c>
      <c r="M62" s="125"/>
      <c r="N62" s="125"/>
      <c r="O62" s="12"/>
      <c r="P62" s="97"/>
      <c r="Q62" s="99"/>
      <c r="R62" s="94"/>
      <c r="S62" s="57"/>
    </row>
    <row r="63" spans="1:36" ht="18">
      <c r="D63" t="s">
        <v>1723</v>
      </c>
      <c r="F63">
        <f>F62-103500000-11500000</f>
        <v>333352416</v>
      </c>
      <c r="G63" s="1760">
        <f>I63/F63-1</f>
        <v>2.7484845043106443E-2</v>
      </c>
      <c r="I63" s="119">
        <f>I62-I40-I41</f>
        <v>342514555.49850518</v>
      </c>
      <c r="J63" s="98"/>
      <c r="K63" s="119"/>
      <c r="L63" s="125">
        <f>0.019*L59</f>
        <v>11350908.304949109</v>
      </c>
      <c r="M63" s="125"/>
      <c r="N63" s="125"/>
      <c r="P63" s="125"/>
      <c r="Q63" s="57"/>
      <c r="R63" s="57"/>
      <c r="S63" s="57"/>
    </row>
    <row r="64" spans="1:36">
      <c r="G64"/>
      <c r="H64" s="140"/>
      <c r="I64" s="57"/>
      <c r="J64" s="98"/>
      <c r="K64" s="119"/>
      <c r="L64" s="125"/>
      <c r="M64" s="125"/>
      <c r="N64" s="125"/>
      <c r="P64" s="125"/>
      <c r="Q64" s="57"/>
      <c r="R64" s="57"/>
      <c r="S64" s="57"/>
    </row>
    <row r="65" spans="7:19">
      <c r="G65"/>
      <c r="I65" s="98"/>
      <c r="J65" s="98"/>
      <c r="K65" s="98" t="s">
        <v>1621</v>
      </c>
      <c r="L65" s="125">
        <f>413500000-41000000</f>
        <v>372500000</v>
      </c>
      <c r="M65" s="125"/>
      <c r="N65" s="125"/>
      <c r="P65" s="125"/>
      <c r="Q65" s="57"/>
      <c r="R65" s="57"/>
      <c r="S65" s="57"/>
    </row>
    <row r="66" spans="7:19">
      <c r="G66"/>
      <c r="I66" s="98"/>
      <c r="J66" s="98"/>
      <c r="K66" s="98"/>
      <c r="L66" s="343">
        <f>SUM(L43,L45)/L65-1</f>
        <v>1.0828862151057717E-2</v>
      </c>
      <c r="M66" s="125"/>
      <c r="N66" s="125"/>
      <c r="P66" s="125"/>
      <c r="Q66" s="57"/>
      <c r="R66" s="57"/>
      <c r="S66" s="57"/>
    </row>
    <row r="67" spans="7:19">
      <c r="G67"/>
      <c r="I67" s="98"/>
      <c r="J67" s="98"/>
      <c r="K67" s="119" t="s">
        <v>1622</v>
      </c>
      <c r="L67" s="125">
        <v>113935508</v>
      </c>
      <c r="M67" s="125"/>
      <c r="N67" s="125"/>
      <c r="P67" s="125"/>
      <c r="Q67" s="57"/>
      <c r="R67" s="57"/>
      <c r="S67" s="57"/>
    </row>
    <row r="68" spans="7:19">
      <c r="G68"/>
      <c r="I68" s="98"/>
      <c r="J68" s="98"/>
      <c r="K68" s="98"/>
      <c r="L68" s="343">
        <f>L23/L67-1</f>
        <v>0.10983204134219515</v>
      </c>
      <c r="M68" s="125"/>
      <c r="N68" s="125"/>
      <c r="P68" s="125"/>
      <c r="Q68" s="57"/>
      <c r="R68" s="57"/>
      <c r="S68" s="57"/>
    </row>
    <row r="69" spans="7:19">
      <c r="G69"/>
      <c r="I69" s="98"/>
      <c r="J69" s="98"/>
      <c r="K69" s="98"/>
      <c r="L69" s="125"/>
      <c r="M69" s="125"/>
      <c r="N69" s="125"/>
      <c r="P69" s="125"/>
      <c r="Q69" s="57"/>
      <c r="R69" s="57"/>
      <c r="S69" s="57"/>
    </row>
    <row r="70" spans="7:19">
      <c r="G70"/>
      <c r="I70" s="98"/>
      <c r="J70" s="98"/>
      <c r="K70" s="98"/>
      <c r="L70" s="125"/>
      <c r="M70" s="125"/>
      <c r="N70" s="125"/>
      <c r="P70" s="125"/>
      <c r="Q70" s="57"/>
      <c r="R70" s="57"/>
      <c r="S70" s="57"/>
    </row>
    <row r="71" spans="7:19">
      <c r="G71"/>
      <c r="I71" s="98"/>
      <c r="J71" s="98"/>
      <c r="K71" s="98"/>
      <c r="L71" s="125"/>
      <c r="M71" s="125"/>
      <c r="N71" s="125"/>
      <c r="P71" s="125"/>
      <c r="Q71" s="57"/>
      <c r="R71" s="57"/>
      <c r="S71" s="57"/>
    </row>
    <row r="72" spans="7:19">
      <c r="G72"/>
      <c r="I72" s="98"/>
      <c r="J72" s="98"/>
      <c r="K72" s="98"/>
      <c r="L72" s="119"/>
      <c r="M72" s="119"/>
      <c r="N72" s="119"/>
      <c r="P72" s="125"/>
      <c r="Q72" s="57"/>
      <c r="R72" s="57"/>
      <c r="S72" s="57"/>
    </row>
    <row r="73" spans="7:19">
      <c r="G73"/>
      <c r="I73" s="57"/>
      <c r="J73" s="57"/>
      <c r="K73" s="57"/>
      <c r="L73" s="141"/>
      <c r="M73" s="141"/>
      <c r="N73" s="141"/>
      <c r="P73" s="119"/>
      <c r="Q73" s="57"/>
      <c r="R73" s="57"/>
      <c r="S73" s="57"/>
    </row>
    <row r="74" spans="7:19">
      <c r="G74"/>
      <c r="I74" s="57"/>
      <c r="J74" s="57"/>
      <c r="K74" s="57"/>
      <c r="L74" s="141"/>
      <c r="M74" s="141"/>
      <c r="N74" s="141"/>
      <c r="P74" s="141"/>
      <c r="Q74" s="57"/>
      <c r="R74" s="57"/>
    </row>
    <row r="75" spans="7:19">
      <c r="G75"/>
      <c r="I75" s="57"/>
      <c r="J75" s="57"/>
      <c r="K75" s="57"/>
      <c r="L75" s="57"/>
      <c r="M75" s="57"/>
      <c r="N75" s="57"/>
      <c r="P75" s="141"/>
    </row>
    <row r="76" spans="7:19">
      <c r="G76"/>
      <c r="I76" s="57"/>
      <c r="J76" s="57"/>
      <c r="K76" s="57"/>
      <c r="L76" s="57"/>
      <c r="M76" s="57"/>
      <c r="N76" s="57"/>
      <c r="P76" s="57"/>
    </row>
    <row r="77" spans="7:19">
      <c r="G77"/>
      <c r="I77" s="57"/>
      <c r="J77" s="57"/>
      <c r="K77" s="57"/>
      <c r="L77" s="57"/>
      <c r="M77" s="57"/>
      <c r="N77" s="57"/>
      <c r="P77" s="57"/>
    </row>
    <row r="78" spans="7:19">
      <c r="G78"/>
      <c r="I78" s="57"/>
      <c r="J78" s="57"/>
      <c r="K78" s="57"/>
      <c r="L78" s="57"/>
      <c r="M78" s="57"/>
      <c r="N78" s="57"/>
      <c r="P78" s="57"/>
    </row>
    <row r="79" spans="7:19">
      <c r="G79"/>
      <c r="I79" s="57"/>
      <c r="J79" s="57"/>
      <c r="K79" s="57"/>
      <c r="L79" s="57"/>
      <c r="M79" s="57"/>
      <c r="N79" s="57"/>
      <c r="P79" s="57"/>
    </row>
    <row r="80" spans="7:19">
      <c r="G80"/>
      <c r="I80" s="57"/>
      <c r="J80" s="57"/>
      <c r="K80" s="57"/>
      <c r="L80" s="57"/>
      <c r="M80" s="57"/>
      <c r="N80" s="57"/>
      <c r="P80" s="57"/>
    </row>
    <row r="81" spans="7:16">
      <c r="G81"/>
      <c r="I81" s="57"/>
      <c r="J81" s="57"/>
      <c r="K81" s="57"/>
      <c r="L81" s="57"/>
      <c r="M81" s="57"/>
      <c r="N81" s="57"/>
      <c r="P81" s="57"/>
    </row>
    <row r="82" spans="7:16">
      <c r="G82"/>
      <c r="I82" s="57"/>
      <c r="J82" s="57"/>
      <c r="K82" s="57"/>
      <c r="L82" s="57"/>
      <c r="M82" s="57"/>
      <c r="N82" s="57"/>
      <c r="P82" s="57"/>
    </row>
    <row r="83" spans="7:16">
      <c r="G83"/>
      <c r="I83" s="57"/>
      <c r="J83" s="57"/>
      <c r="K83" s="57"/>
      <c r="L83" s="57"/>
      <c r="M83" s="57"/>
      <c r="N83" s="57"/>
      <c r="P83" s="57"/>
    </row>
    <row r="84" spans="7:16">
      <c r="G84"/>
      <c r="I84" s="57"/>
      <c r="J84" s="57"/>
      <c r="K84" s="57"/>
      <c r="L84" s="57"/>
      <c r="M84" s="57"/>
      <c r="N84" s="57"/>
      <c r="P84" s="57"/>
    </row>
    <row r="85" spans="7:16">
      <c r="G85"/>
      <c r="I85" s="57"/>
      <c r="J85" s="57"/>
      <c r="K85" s="57"/>
      <c r="L85" s="57"/>
      <c r="M85" s="57"/>
      <c r="N85" s="57"/>
      <c r="P85" s="57"/>
    </row>
    <row r="86" spans="7:16">
      <c r="G86"/>
      <c r="P86" s="57"/>
    </row>
    <row r="103" spans="28:28">
      <c r="AB103" s="174">
        <f>SUM(AB99,AC99,AD99,AF99,AE99)</f>
        <v>0</v>
      </c>
    </row>
  </sheetData>
  <mergeCells count="3">
    <mergeCell ref="A1:D1"/>
    <mergeCell ref="A2:D2"/>
    <mergeCell ref="I1:L1"/>
  </mergeCells>
  <phoneticPr fontId="52" type="noConversion"/>
  <pageMargins left="0.75" right="0.75" top="1" bottom="1" header="0.5" footer="0.5"/>
  <pageSetup scale="17"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C71"/>
  <sheetViews>
    <sheetView zoomScale="110" zoomScaleNormal="110" zoomScalePageLayoutView="110" workbookViewId="0">
      <pane xSplit="1" ySplit="5" topLeftCell="K15" activePane="bottomRight" state="frozen"/>
      <selection pane="topRight" activeCell="B1" sqref="B1"/>
      <selection pane="bottomLeft" activeCell="A6" sqref="A6"/>
      <selection pane="bottomRight" activeCell="N37" sqref="N37"/>
    </sheetView>
  </sheetViews>
  <sheetFormatPr defaultColWidth="11" defaultRowHeight="15.75"/>
  <cols>
    <col min="1" max="1" width="36.125" customWidth="1"/>
    <col min="2" max="2" width="11.125" customWidth="1"/>
    <col min="3" max="4" width="11.5" customWidth="1"/>
    <col min="5" max="5" width="15.625" customWidth="1"/>
    <col min="6" max="6" width="3.375" customWidth="1"/>
    <col min="7" max="10" width="11" customWidth="1"/>
    <col min="11" max="11" width="3.625" customWidth="1"/>
    <col min="12" max="12" width="16.125" customWidth="1"/>
    <col min="13" max="13" width="5.375" customWidth="1"/>
    <col min="14" max="14" width="12.625" customWidth="1"/>
    <col min="15" max="17" width="11" customWidth="1"/>
    <col min="18" max="18" width="12.375" customWidth="1"/>
    <col min="19" max="19" width="11" customWidth="1"/>
    <col min="20" max="20" width="12" customWidth="1"/>
    <col min="21" max="21" width="3.125" customWidth="1"/>
    <col min="22" max="22" width="13.875" customWidth="1"/>
    <col min="23" max="23" width="7.875" customWidth="1"/>
    <col min="24" max="25" width="12.875" customWidth="1"/>
    <col min="26" max="26" width="9" customWidth="1"/>
    <col min="27" max="27" width="11.625" bestFit="1" customWidth="1"/>
    <col min="28" max="28" width="11.375" customWidth="1"/>
    <col min="29" max="29" width="10" customWidth="1"/>
  </cols>
  <sheetData>
    <row r="1" spans="1:28" ht="16.5" thickBot="1">
      <c r="A1" s="169" t="s">
        <v>61</v>
      </c>
      <c r="B1" s="169"/>
      <c r="C1" s="169"/>
      <c r="D1" s="169"/>
      <c r="E1" s="169"/>
      <c r="F1" s="169"/>
      <c r="G1" s="169"/>
      <c r="H1" s="169"/>
      <c r="I1" s="169"/>
      <c r="J1" s="169"/>
      <c r="K1" s="169"/>
      <c r="L1" s="791" t="s">
        <v>715</v>
      </c>
      <c r="M1" s="792"/>
      <c r="N1" s="793">
        <f>'Dashboard-Academic Allocation'!C12</f>
        <v>7.3999999999999996E-2</v>
      </c>
      <c r="O1" s="169"/>
      <c r="P1" s="169"/>
      <c r="Q1" s="169"/>
      <c r="R1" s="169"/>
      <c r="S1" s="169"/>
      <c r="U1" s="169"/>
      <c r="V1" s="169"/>
      <c r="W1" s="169"/>
      <c r="X1" s="169"/>
      <c r="Y1" s="169"/>
      <c r="Z1" s="159"/>
      <c r="AA1" s="159"/>
    </row>
    <row r="2" spans="1:28">
      <c r="A2" s="169" t="s">
        <v>1599</v>
      </c>
      <c r="B2" s="169"/>
      <c r="C2" s="169"/>
      <c r="D2" s="169"/>
      <c r="E2" s="169"/>
      <c r="F2" s="169"/>
      <c r="G2" s="169"/>
      <c r="H2" s="169"/>
      <c r="I2" s="169"/>
      <c r="J2" s="169"/>
      <c r="K2" s="169"/>
      <c r="L2" s="169"/>
      <c r="M2" s="169"/>
      <c r="N2" s="984"/>
      <c r="O2" s="169"/>
      <c r="P2" s="1508"/>
      <c r="Q2" s="1509"/>
      <c r="R2" s="1508"/>
      <c r="S2" s="1508"/>
      <c r="T2" s="1508"/>
      <c r="U2" s="169"/>
      <c r="V2" s="196" t="s">
        <v>174</v>
      </c>
      <c r="W2" s="197"/>
      <c r="X2" s="201">
        <f>'Step 0 FY20 Revenue'!L59</f>
        <v>597416226.57626891</v>
      </c>
      <c r="Y2" s="169"/>
      <c r="Z2" s="159"/>
      <c r="AA2" s="159"/>
    </row>
    <row r="3" spans="1:28" ht="16.5" thickBot="1">
      <c r="A3" s="169"/>
      <c r="B3" s="169"/>
      <c r="C3" s="169"/>
      <c r="D3" s="169"/>
      <c r="E3" s="169"/>
      <c r="F3" s="169"/>
      <c r="G3" s="169"/>
      <c r="H3" s="169"/>
      <c r="I3" s="169"/>
      <c r="J3" s="169"/>
      <c r="K3" s="169"/>
      <c r="L3" s="169"/>
      <c r="M3" s="169"/>
      <c r="N3" s="169" t="s">
        <v>1357</v>
      </c>
      <c r="O3" s="1049">
        <f>N1</f>
        <v>7.3999999999999996E-2</v>
      </c>
      <c r="P3" s="1049">
        <v>0</v>
      </c>
      <c r="Q3" s="1049">
        <v>0</v>
      </c>
      <c r="R3" s="1049">
        <f>N1</f>
        <v>7.3999999999999996E-2</v>
      </c>
      <c r="S3" s="1049">
        <f>N1</f>
        <v>7.3999999999999996E-2</v>
      </c>
      <c r="T3" s="1049">
        <v>0</v>
      </c>
      <c r="U3" s="169"/>
      <c r="V3" s="198" t="s">
        <v>175</v>
      </c>
      <c r="W3" s="199"/>
      <c r="X3" s="200">
        <f>X2-V59</f>
        <v>440655477.40850514</v>
      </c>
      <c r="Y3" s="169"/>
    </row>
    <row r="4" spans="1:28">
      <c r="A4" s="170"/>
      <c r="B4" s="1940" t="s">
        <v>165</v>
      </c>
      <c r="C4" s="1940"/>
      <c r="D4" s="1940"/>
      <c r="E4" s="1940"/>
      <c r="F4" s="190"/>
      <c r="G4" s="1941" t="s">
        <v>166</v>
      </c>
      <c r="H4" s="1941"/>
      <c r="I4" s="1941"/>
      <c r="J4" s="1941"/>
      <c r="K4" s="190"/>
      <c r="L4" s="189" t="s">
        <v>167</v>
      </c>
      <c r="M4" s="170"/>
      <c r="N4" s="1942" t="s">
        <v>151</v>
      </c>
      <c r="O4" s="1942"/>
      <c r="P4" s="1942"/>
      <c r="Q4" s="1942"/>
      <c r="R4" s="1942"/>
      <c r="S4" s="1942"/>
      <c r="T4" s="1942"/>
      <c r="U4" s="170"/>
      <c r="V4" s="170"/>
      <c r="W4" s="170"/>
      <c r="X4" s="1854">
        <f>X2-X3</f>
        <v>156760749.16776377</v>
      </c>
      <c r="Y4" s="170"/>
    </row>
    <row r="5" spans="1:28" s="182" customFormat="1" ht="63.75">
      <c r="A5" s="180" t="s">
        <v>68</v>
      </c>
      <c r="B5" s="230" t="s">
        <v>172</v>
      </c>
      <c r="C5" s="230" t="s">
        <v>700</v>
      </c>
      <c r="D5" s="224" t="s">
        <v>635</v>
      </c>
      <c r="E5" s="224" t="s">
        <v>1346</v>
      </c>
      <c r="F5" s="224"/>
      <c r="G5" s="224" t="s">
        <v>156</v>
      </c>
      <c r="H5" s="224" t="s">
        <v>157</v>
      </c>
      <c r="I5" s="224" t="s">
        <v>158</v>
      </c>
      <c r="J5" s="224" t="s">
        <v>159</v>
      </c>
      <c r="K5" s="224"/>
      <c r="L5" s="224" t="s">
        <v>152</v>
      </c>
      <c r="M5" s="224"/>
      <c r="N5" s="230" t="s">
        <v>164</v>
      </c>
      <c r="O5" s="1669" t="s">
        <v>153</v>
      </c>
      <c r="P5" s="1669" t="s">
        <v>1289</v>
      </c>
      <c r="Q5" s="1669" t="s">
        <v>829</v>
      </c>
      <c r="R5" s="1669" t="s">
        <v>154</v>
      </c>
      <c r="S5" s="1669" t="s">
        <v>155</v>
      </c>
      <c r="T5" s="1669" t="s">
        <v>173</v>
      </c>
      <c r="V5" s="224" t="s">
        <v>1610</v>
      </c>
      <c r="W5" s="1076"/>
      <c r="X5" s="224" t="s">
        <v>1806</v>
      </c>
      <c r="Z5"/>
      <c r="AA5"/>
      <c r="AB5"/>
    </row>
    <row r="6" spans="1:28">
      <c r="A6" s="171" t="s">
        <v>470</v>
      </c>
      <c r="B6" s="40"/>
      <c r="C6" s="40"/>
      <c r="D6" s="40"/>
      <c r="E6" s="40"/>
      <c r="F6" s="40"/>
      <c r="G6" s="40"/>
      <c r="H6" s="40"/>
      <c r="I6" s="40"/>
      <c r="J6" s="40"/>
      <c r="K6" s="40"/>
      <c r="L6" s="40"/>
      <c r="M6" s="40"/>
      <c r="N6" s="40"/>
      <c r="O6" s="39"/>
      <c r="P6" s="39"/>
      <c r="Q6" s="39"/>
      <c r="R6" s="40"/>
      <c r="S6" s="41"/>
      <c r="T6" s="160"/>
      <c r="V6" s="40">
        <f t="shared" ref="V6:V12" si="0">SUM(B6:T6)</f>
        <v>0</v>
      </c>
      <c r="W6" s="161"/>
      <c r="X6" s="40">
        <v>-626137</v>
      </c>
      <c r="Y6" s="12"/>
    </row>
    <row r="7" spans="1:28">
      <c r="A7" s="171" t="s">
        <v>477</v>
      </c>
      <c r="B7" s="40"/>
      <c r="C7" s="40"/>
      <c r="D7" s="40"/>
      <c r="E7" s="40"/>
      <c r="F7" s="40"/>
      <c r="G7" s="40"/>
      <c r="H7" s="40"/>
      <c r="I7" s="40"/>
      <c r="J7" s="40"/>
      <c r="K7" s="40"/>
      <c r="L7" s="40"/>
      <c r="M7" s="40"/>
      <c r="N7" s="39">
        <f>-R3*R7</f>
        <v>-270100</v>
      </c>
      <c r="O7" s="39">
        <v>0</v>
      </c>
      <c r="P7" s="39">
        <v>1000000</v>
      </c>
      <c r="Q7" s="39"/>
      <c r="R7" s="372">
        <v>3650000</v>
      </c>
      <c r="S7" s="221"/>
      <c r="T7" s="160">
        <v>2193000</v>
      </c>
      <c r="V7" s="40">
        <f>SUM(B7:T7)</f>
        <v>6572900</v>
      </c>
      <c r="W7" s="161"/>
      <c r="X7" s="40">
        <v>7259180</v>
      </c>
      <c r="Y7" s="12"/>
      <c r="Z7" s="12"/>
      <c r="AB7" s="161"/>
    </row>
    <row r="8" spans="1:28">
      <c r="A8" s="171" t="s">
        <v>697</v>
      </c>
      <c r="B8" s="40"/>
      <c r="C8" s="40"/>
      <c r="D8" s="40"/>
      <c r="E8" s="40"/>
      <c r="F8" s="40"/>
      <c r="G8" s="40"/>
      <c r="H8" s="40"/>
      <c r="I8" s="40"/>
      <c r="J8" s="40"/>
      <c r="K8" s="40"/>
      <c r="L8" s="40"/>
      <c r="M8" s="40"/>
      <c r="N8" s="39"/>
      <c r="O8" s="39"/>
      <c r="P8" s="39"/>
      <c r="Q8" s="39"/>
      <c r="R8" s="372"/>
      <c r="S8" s="41"/>
      <c r="T8" s="160"/>
      <c r="V8" s="40">
        <f>SUM(B8:T8)</f>
        <v>0</v>
      </c>
      <c r="W8" s="161"/>
      <c r="X8" s="40">
        <v>-10659942.763277592</v>
      </c>
      <c r="Z8" s="12"/>
      <c r="AB8" s="161"/>
    </row>
    <row r="9" spans="1:28">
      <c r="A9" s="171" t="s">
        <v>714</v>
      </c>
      <c r="B9" s="40"/>
      <c r="C9" s="40"/>
      <c r="D9" s="40"/>
      <c r="E9" s="40"/>
      <c r="F9" s="40"/>
      <c r="G9" s="40"/>
      <c r="H9" s="40"/>
      <c r="I9" s="40"/>
      <c r="J9" s="40"/>
      <c r="K9" s="40"/>
      <c r="L9" s="40"/>
      <c r="M9" s="40"/>
      <c r="N9" s="39"/>
      <c r="O9" s="39"/>
      <c r="P9" s="39">
        <v>13000000</v>
      </c>
      <c r="Q9" s="39"/>
      <c r="R9" s="372"/>
      <c r="S9" s="41"/>
      <c r="T9" s="160"/>
      <c r="V9" s="40">
        <f t="shared" si="0"/>
        <v>13000000</v>
      </c>
      <c r="W9" s="161"/>
      <c r="X9" s="40">
        <v>10000000</v>
      </c>
      <c r="Z9" s="1306" t="s">
        <v>1336</v>
      </c>
      <c r="AB9" s="161"/>
    </row>
    <row r="10" spans="1:28" ht="16.5" thickBot="1">
      <c r="A10" s="171" t="s">
        <v>471</v>
      </c>
      <c r="B10" s="40"/>
      <c r="C10" s="40"/>
      <c r="D10" s="40"/>
      <c r="E10" s="40"/>
      <c r="F10" s="40"/>
      <c r="G10" s="40"/>
      <c r="H10" s="40"/>
      <c r="I10" s="40"/>
      <c r="J10" s="40"/>
      <c r="K10" s="40"/>
      <c r="L10" s="40"/>
      <c r="M10" s="40"/>
      <c r="N10" s="39"/>
      <c r="O10" s="39"/>
      <c r="P10" s="39"/>
      <c r="Q10" s="39">
        <v>678198</v>
      </c>
      <c r="R10" s="372"/>
      <c r="S10" s="41"/>
      <c r="T10" s="160">
        <f>13596600-150000-T34-SUM(T16:T26)</f>
        <v>1646100</v>
      </c>
      <c r="V10" s="40">
        <f>SUM(B10:T10)</f>
        <v>2324298</v>
      </c>
      <c r="W10" s="161"/>
      <c r="X10" s="40">
        <v>18178922</v>
      </c>
      <c r="AA10" s="314" t="s">
        <v>764</v>
      </c>
      <c r="AB10" s="314" t="s">
        <v>940</v>
      </c>
    </row>
    <row r="11" spans="1:28">
      <c r="A11" s="171" t="s">
        <v>472</v>
      </c>
      <c r="B11" s="40"/>
      <c r="C11" s="40"/>
      <c r="D11" s="40"/>
      <c r="E11" s="40"/>
      <c r="F11" s="40"/>
      <c r="G11" s="40"/>
      <c r="H11" s="40"/>
      <c r="I11" s="40"/>
      <c r="J11" s="40"/>
      <c r="K11" s="40"/>
      <c r="L11" s="40"/>
      <c r="M11" s="40"/>
      <c r="N11" s="40"/>
      <c r="O11" s="39"/>
      <c r="P11" s="39"/>
      <c r="Q11" s="39"/>
      <c r="R11" s="40"/>
      <c r="S11" s="41"/>
      <c r="T11" s="160"/>
      <c r="V11" s="40">
        <f t="shared" si="0"/>
        <v>0</v>
      </c>
      <c r="W11" s="161"/>
      <c r="X11" s="40">
        <v>4150000</v>
      </c>
      <c r="Z11" s="263" t="s">
        <v>337</v>
      </c>
      <c r="AA11" s="1308">
        <v>1.4E-2</v>
      </c>
      <c r="AB11" s="264">
        <v>0.1891891891891892</v>
      </c>
    </row>
    <row r="12" spans="1:28">
      <c r="A12" s="171" t="s">
        <v>473</v>
      </c>
      <c r="B12" s="40"/>
      <c r="C12" s="40"/>
      <c r="D12" s="40"/>
      <c r="E12" s="40"/>
      <c r="F12" s="40"/>
      <c r="G12" s="40"/>
      <c r="H12" s="40"/>
      <c r="I12" s="40"/>
      <c r="J12" s="40"/>
      <c r="K12" s="40"/>
      <c r="L12" s="40"/>
      <c r="M12" s="40"/>
      <c r="N12" s="40"/>
      <c r="O12" s="39"/>
      <c r="P12" s="39">
        <f>500000+950000+2150000</f>
        <v>3600000</v>
      </c>
      <c r="Q12" s="39"/>
      <c r="R12" s="40"/>
      <c r="S12" s="41"/>
      <c r="T12" s="160"/>
      <c r="V12" s="40">
        <f t="shared" si="0"/>
        <v>3600000</v>
      </c>
      <c r="W12" s="161"/>
      <c r="X12" s="40">
        <v>26139223</v>
      </c>
      <c r="Z12" s="265" t="s">
        <v>145</v>
      </c>
      <c r="AA12" s="1307">
        <v>2.1999999999999999E-2</v>
      </c>
      <c r="AB12" s="266">
        <v>0.29729729729729731</v>
      </c>
    </row>
    <row r="13" spans="1:28">
      <c r="A13" s="162"/>
      <c r="B13" s="44"/>
      <c r="C13" s="44"/>
      <c r="D13" s="44"/>
      <c r="E13" s="44"/>
      <c r="F13" s="44"/>
      <c r="G13" s="44"/>
      <c r="H13" s="44"/>
      <c r="I13" s="44"/>
      <c r="J13" s="44"/>
      <c r="K13" s="44"/>
      <c r="L13" s="44"/>
      <c r="M13" s="44"/>
      <c r="N13" s="44"/>
      <c r="O13" s="44"/>
      <c r="P13" s="44"/>
      <c r="Q13" s="172"/>
      <c r="R13" s="44"/>
      <c r="S13" s="45"/>
      <c r="T13" s="162"/>
      <c r="V13" s="44"/>
      <c r="W13" s="162"/>
      <c r="X13" s="44"/>
      <c r="Z13" s="265" t="s">
        <v>14</v>
      </c>
      <c r="AA13" s="1307">
        <v>5.0000000000000001E-3</v>
      </c>
      <c r="AB13" s="266">
        <v>6.7567567567567571E-2</v>
      </c>
    </row>
    <row r="14" spans="1:28">
      <c r="A14" s="47" t="s">
        <v>71</v>
      </c>
      <c r="B14" s="33"/>
      <c r="C14" s="33"/>
      <c r="D14" s="33"/>
      <c r="E14" s="33"/>
      <c r="F14" s="33"/>
      <c r="G14" s="33"/>
      <c r="H14" s="33"/>
      <c r="I14" s="33"/>
      <c r="J14" s="33"/>
      <c r="K14" s="33"/>
      <c r="L14" s="33"/>
      <c r="M14" s="33"/>
      <c r="N14" s="33"/>
      <c r="O14" s="48"/>
      <c r="P14" s="48"/>
      <c r="Q14" s="172"/>
      <c r="R14" s="33"/>
      <c r="S14" s="33"/>
      <c r="T14" s="163"/>
      <c r="V14" s="33"/>
      <c r="W14" s="161"/>
      <c r="X14" s="33"/>
      <c r="Z14" s="265" t="s">
        <v>398</v>
      </c>
      <c r="AA14" s="1307">
        <v>5.0000000000000001E-3</v>
      </c>
      <c r="AB14" s="266">
        <v>6.7567567567567571E-2</v>
      </c>
    </row>
    <row r="15" spans="1:28">
      <c r="A15" s="1280" t="s">
        <v>1316</v>
      </c>
      <c r="B15" s="33"/>
      <c r="C15" s="33"/>
      <c r="D15" s="33"/>
      <c r="E15" s="33"/>
      <c r="F15" s="33"/>
      <c r="G15" s="33"/>
      <c r="H15" s="33"/>
      <c r="I15" s="33"/>
      <c r="J15" s="33"/>
      <c r="K15" s="33"/>
      <c r="L15" s="33"/>
      <c r="M15" s="33"/>
      <c r="N15" s="33"/>
      <c r="O15" s="48"/>
      <c r="P15" s="48"/>
      <c r="Q15" s="172"/>
      <c r="R15" s="33"/>
      <c r="S15" s="33"/>
      <c r="T15" s="161"/>
      <c r="V15" s="33"/>
      <c r="W15" s="161"/>
      <c r="X15" s="1824"/>
      <c r="Z15" s="265" t="s">
        <v>373</v>
      </c>
      <c r="AA15" s="1307">
        <v>1.0999999999999999E-2</v>
      </c>
      <c r="AB15" s="266">
        <v>0.14864864864864866</v>
      </c>
    </row>
    <row r="16" spans="1:28">
      <c r="A16" s="173" t="s">
        <v>72</v>
      </c>
      <c r="B16" s="40"/>
      <c r="C16" s="40"/>
      <c r="D16" s="40"/>
      <c r="E16" s="40"/>
      <c r="F16" s="40"/>
      <c r="G16" s="40"/>
      <c r="H16" s="40"/>
      <c r="I16" s="40"/>
      <c r="J16" s="40"/>
      <c r="K16" s="40"/>
      <c r="L16" s="176"/>
      <c r="M16" s="40"/>
      <c r="N16" s="39">
        <f>-O$3*O16-Q$3*Q16-R$3*R16-S$3*S16-T$3*T16</f>
        <v>-114722.94</v>
      </c>
      <c r="O16" s="39">
        <f>671073</f>
        <v>671073</v>
      </c>
      <c r="P16" s="39"/>
      <c r="Q16" s="39">
        <f>'Differential Tuition Allocation'!F9</f>
        <v>0</v>
      </c>
      <c r="R16" s="40">
        <v>600000</v>
      </c>
      <c r="S16" s="40">
        <v>279237</v>
      </c>
      <c r="T16" s="39">
        <v>1900000</v>
      </c>
      <c r="V16" s="40">
        <f t="shared" ref="V16:V33" si="1">SUM(B16:T16)</f>
        <v>3335587.06</v>
      </c>
      <c r="W16" s="162"/>
      <c r="X16" s="40">
        <v>23993241</v>
      </c>
      <c r="Y16" s="174"/>
      <c r="Z16" s="265" t="s">
        <v>399</v>
      </c>
      <c r="AA16" s="1307">
        <v>1.0999999999999999E-2</v>
      </c>
      <c r="AB16" s="266">
        <v>0.14864864864864866</v>
      </c>
    </row>
    <row r="17" spans="1:28">
      <c r="A17" s="49" t="s">
        <v>73</v>
      </c>
      <c r="B17" s="44"/>
      <c r="C17" s="44"/>
      <c r="D17" s="44"/>
      <c r="E17" s="44"/>
      <c r="F17" s="44"/>
      <c r="G17" s="44"/>
      <c r="H17" s="44"/>
      <c r="I17" s="44"/>
      <c r="J17" s="44"/>
      <c r="K17" s="44"/>
      <c r="L17" s="177"/>
      <c r="M17" s="44"/>
      <c r="N17" s="50">
        <f t="shared" ref="N17:N34" si="2">-O$3*O17-Q$3*Q17-R$3*R17-S$3*S17-T$3*T17</f>
        <v>-40855.178</v>
      </c>
      <c r="O17" s="50">
        <v>0</v>
      </c>
      <c r="P17" s="50"/>
      <c r="Q17" s="50">
        <v>2531365.1521200002</v>
      </c>
      <c r="R17" s="44">
        <v>400000</v>
      </c>
      <c r="S17" s="44">
        <v>152097</v>
      </c>
      <c r="T17" s="50">
        <v>0</v>
      </c>
      <c r="V17" s="44">
        <f t="shared" si="1"/>
        <v>3042606.9741200004</v>
      </c>
      <c r="W17" s="162"/>
      <c r="X17" s="44">
        <v>21443844</v>
      </c>
      <c r="Y17" s="174"/>
      <c r="Z17" s="265" t="s">
        <v>386</v>
      </c>
      <c r="AA17" s="1307">
        <v>6.0000000000000001E-3</v>
      </c>
      <c r="AB17" s="266">
        <v>8.1081081081081086E-2</v>
      </c>
    </row>
    <row r="18" spans="1:28" ht="16.5" thickBot="1">
      <c r="A18" s="172" t="s">
        <v>74</v>
      </c>
      <c r="B18" s="44"/>
      <c r="C18" s="44"/>
      <c r="D18" s="44"/>
      <c r="E18" s="44"/>
      <c r="F18" s="44"/>
      <c r="G18" s="44"/>
      <c r="H18" s="44"/>
      <c r="I18" s="44"/>
      <c r="J18" s="44"/>
      <c r="K18" s="44"/>
      <c r="L18" s="177"/>
      <c r="M18" s="44"/>
      <c r="N18" s="50">
        <f t="shared" si="2"/>
        <v>-646197.82200000004</v>
      </c>
      <c r="O18" s="50">
        <v>7205391</v>
      </c>
      <c r="P18" s="50"/>
      <c r="Q18" s="50">
        <v>9581981.1669999994</v>
      </c>
      <c r="R18" s="44">
        <v>1450000</v>
      </c>
      <c r="S18" s="44">
        <v>77012</v>
      </c>
      <c r="T18" s="50">
        <v>2550000</v>
      </c>
      <c r="V18" s="44">
        <f>SUM(B18:T18)</f>
        <v>20218186.344999999</v>
      </c>
      <c r="W18" s="162"/>
      <c r="X18" s="44">
        <v>67030706</v>
      </c>
      <c r="Y18" s="174"/>
      <c r="Z18" s="267"/>
      <c r="AA18" s="1309">
        <v>7.3999999999999996E-2</v>
      </c>
      <c r="AB18" s="268">
        <v>1</v>
      </c>
    </row>
    <row r="19" spans="1:28">
      <c r="A19" s="173" t="s">
        <v>75</v>
      </c>
      <c r="B19" s="40"/>
      <c r="C19" s="40"/>
      <c r="D19" s="40"/>
      <c r="E19" s="40"/>
      <c r="F19" s="40"/>
      <c r="G19" s="40"/>
      <c r="H19" s="40"/>
      <c r="I19" s="40"/>
      <c r="J19" s="40"/>
      <c r="K19" s="40"/>
      <c r="L19" s="176"/>
      <c r="M19" s="40"/>
      <c r="N19" s="39">
        <f t="shared" si="2"/>
        <v>-190577.89799999999</v>
      </c>
      <c r="O19" s="222">
        <v>1840296</v>
      </c>
      <c r="P19" s="39"/>
      <c r="Q19" s="39">
        <v>110312.28</v>
      </c>
      <c r="R19" s="40">
        <v>300000</v>
      </c>
      <c r="S19" s="40">
        <v>435081</v>
      </c>
      <c r="T19" s="39">
        <v>430000</v>
      </c>
      <c r="V19" s="40">
        <f>SUM(B19:T19)</f>
        <v>2925111.3820000002</v>
      </c>
      <c r="W19" s="162"/>
      <c r="X19" s="40">
        <v>9423979</v>
      </c>
      <c r="Y19" s="174"/>
      <c r="Z19" s="174"/>
      <c r="AB19" s="161"/>
    </row>
    <row r="20" spans="1:28">
      <c r="A20" s="49" t="s">
        <v>76</v>
      </c>
      <c r="B20" s="44"/>
      <c r="C20" s="44"/>
      <c r="D20" s="44"/>
      <c r="E20" s="44"/>
      <c r="F20" s="44"/>
      <c r="G20" s="44"/>
      <c r="H20" s="44"/>
      <c r="I20" s="44"/>
      <c r="J20" s="44"/>
      <c r="K20" s="44"/>
      <c r="L20" s="177"/>
      <c r="M20" s="44"/>
      <c r="N20" s="50">
        <f t="shared" si="2"/>
        <v>-102703.046</v>
      </c>
      <c r="O20" s="50">
        <v>0</v>
      </c>
      <c r="P20" s="50"/>
      <c r="Q20" s="50">
        <v>244586.19839999999</v>
      </c>
      <c r="R20" s="44">
        <v>1275000</v>
      </c>
      <c r="S20" s="44">
        <v>112879</v>
      </c>
      <c r="T20" s="50">
        <v>900000</v>
      </c>
      <c r="V20" s="44">
        <f>SUM(B20:T20)</f>
        <v>2429762.1524</v>
      </c>
      <c r="W20" s="162"/>
      <c r="X20" s="44">
        <v>20386034</v>
      </c>
      <c r="Y20" s="174"/>
      <c r="Z20" s="174"/>
      <c r="AB20" s="161"/>
    </row>
    <row r="21" spans="1:28">
      <c r="A21" s="172" t="s">
        <v>77</v>
      </c>
      <c r="B21" s="44"/>
      <c r="C21" s="44"/>
      <c r="D21" s="44"/>
      <c r="E21" s="44"/>
      <c r="F21" s="44"/>
      <c r="G21" s="44"/>
      <c r="H21" s="44"/>
      <c r="I21" s="44"/>
      <c r="J21" s="44"/>
      <c r="K21" s="44"/>
      <c r="L21" s="177"/>
      <c r="M21" s="44"/>
      <c r="N21" s="50">
        <f t="shared" si="2"/>
        <v>-7400</v>
      </c>
      <c r="O21" s="50">
        <v>0</v>
      </c>
      <c r="P21" s="50"/>
      <c r="Q21" s="50">
        <v>0</v>
      </c>
      <c r="R21" s="44">
        <v>100000</v>
      </c>
      <c r="S21" s="44">
        <v>0</v>
      </c>
      <c r="T21" s="50">
        <v>20000</v>
      </c>
      <c r="V21" s="44">
        <f t="shared" si="1"/>
        <v>112600</v>
      </c>
      <c r="W21" s="162"/>
      <c r="X21" s="44">
        <v>5442006</v>
      </c>
      <c r="Y21" s="174"/>
      <c r="Z21" s="174"/>
      <c r="AB21" s="161"/>
    </row>
    <row r="22" spans="1:28">
      <c r="A22" s="173" t="s">
        <v>78</v>
      </c>
      <c r="B22" s="40"/>
      <c r="C22" s="40"/>
      <c r="D22" s="40"/>
      <c r="E22" s="40"/>
      <c r="F22" s="40"/>
      <c r="G22" s="40"/>
      <c r="H22" s="40"/>
      <c r="I22" s="40"/>
      <c r="J22" s="40"/>
      <c r="K22" s="40"/>
      <c r="L22" s="176"/>
      <c r="M22" s="40"/>
      <c r="N22" s="39">
        <f t="shared" si="2"/>
        <v>-128220.466</v>
      </c>
      <c r="O22" s="39">
        <v>0</v>
      </c>
      <c r="P22" s="39"/>
      <c r="Q22" s="39">
        <v>0</v>
      </c>
      <c r="R22" s="40">
        <v>1400000</v>
      </c>
      <c r="S22" s="40">
        <v>332709</v>
      </c>
      <c r="T22" s="39">
        <v>80000</v>
      </c>
      <c r="V22" s="40">
        <f t="shared" si="1"/>
        <v>1684488.534</v>
      </c>
      <c r="W22" s="162"/>
      <c r="X22" s="40">
        <v>44094814</v>
      </c>
      <c r="Y22" s="174"/>
      <c r="Z22" s="174"/>
      <c r="AB22" s="161"/>
    </row>
    <row r="23" spans="1:28">
      <c r="A23" s="172" t="s">
        <v>79</v>
      </c>
      <c r="B23" s="44"/>
      <c r="C23" s="44"/>
      <c r="D23" s="44"/>
      <c r="E23" s="44"/>
      <c r="F23" s="44"/>
      <c r="G23" s="44"/>
      <c r="H23" s="44"/>
      <c r="I23" s="44"/>
      <c r="J23" s="44"/>
      <c r="K23" s="44"/>
      <c r="L23" s="177"/>
      <c r="M23" s="44"/>
      <c r="N23" s="1903">
        <f>-O$3*(O23-3000000)-Q$3*Q23-R$3*R23-S$3*S23-T$3*T23</f>
        <v>41103.077999999994</v>
      </c>
      <c r="O23" s="50">
        <f>1600000+169358+335538</f>
        <v>2104896</v>
      </c>
      <c r="P23" s="50"/>
      <c r="Q23" s="50">
        <v>0</v>
      </c>
      <c r="R23" s="44">
        <v>320000</v>
      </c>
      <c r="S23" s="44">
        <v>19657</v>
      </c>
      <c r="T23" s="50">
        <v>4000000</v>
      </c>
      <c r="V23" s="44">
        <f t="shared" si="1"/>
        <v>6485656.0779999997</v>
      </c>
      <c r="W23" s="162"/>
      <c r="X23" s="44">
        <v>18750980</v>
      </c>
      <c r="Y23" s="174"/>
      <c r="Z23" s="174"/>
      <c r="AB23" s="161"/>
    </row>
    <row r="24" spans="1:28">
      <c r="A24" s="172" t="s">
        <v>80</v>
      </c>
      <c r="B24" s="50"/>
      <c r="C24" s="50"/>
      <c r="D24" s="50"/>
      <c r="E24" s="50"/>
      <c r="F24" s="50"/>
      <c r="G24" s="50"/>
      <c r="H24" s="50"/>
      <c r="I24" s="50"/>
      <c r="J24" s="50"/>
      <c r="K24" s="50"/>
      <c r="L24" s="178"/>
      <c r="M24" s="50"/>
      <c r="N24" s="50">
        <f t="shared" si="2"/>
        <v>-113642.39199999999</v>
      </c>
      <c r="O24" s="50">
        <v>1185708</v>
      </c>
      <c r="P24" s="50"/>
      <c r="Q24" s="50">
        <v>4140534.0006117602</v>
      </c>
      <c r="R24" s="44">
        <v>350000</v>
      </c>
      <c r="S24" s="44">
        <v>0</v>
      </c>
      <c r="T24" s="50">
        <v>250000</v>
      </c>
      <c r="V24" s="50">
        <f t="shared" si="1"/>
        <v>5812599.6086117607</v>
      </c>
      <c r="W24" s="162"/>
      <c r="X24" s="50">
        <v>12570093</v>
      </c>
      <c r="Y24" s="174">
        <f>T24/0.26</f>
        <v>961538.4615384615</v>
      </c>
      <c r="Z24" s="174"/>
      <c r="AB24" s="161"/>
    </row>
    <row r="25" spans="1:28">
      <c r="A25" s="173" t="s">
        <v>81</v>
      </c>
      <c r="B25" s="40"/>
      <c r="C25" s="40"/>
      <c r="D25" s="40"/>
      <c r="E25" s="40"/>
      <c r="F25" s="40"/>
      <c r="G25" s="40"/>
      <c r="H25" s="40"/>
      <c r="I25" s="40"/>
      <c r="J25" s="40"/>
      <c r="K25" s="40"/>
      <c r="L25" s="176"/>
      <c r="M25" s="40"/>
      <c r="N25" s="39">
        <f t="shared" si="2"/>
        <v>-118488.57799999999</v>
      </c>
      <c r="O25" s="39">
        <v>0</v>
      </c>
      <c r="P25" s="39"/>
      <c r="Q25" s="39">
        <v>0</v>
      </c>
      <c r="R25" s="40">
        <v>1375000</v>
      </c>
      <c r="S25" s="40">
        <v>226197</v>
      </c>
      <c r="T25" s="39">
        <v>800000</v>
      </c>
      <c r="V25" s="40">
        <f t="shared" si="1"/>
        <v>2282708.4220000003</v>
      </c>
      <c r="W25" s="162"/>
      <c r="X25" s="40">
        <v>43664480</v>
      </c>
      <c r="Y25" s="174"/>
      <c r="Z25" s="174"/>
      <c r="AB25" s="161"/>
    </row>
    <row r="26" spans="1:28">
      <c r="A26" s="172" t="s">
        <v>82</v>
      </c>
      <c r="B26" s="50"/>
      <c r="C26" s="50"/>
      <c r="D26" s="50"/>
      <c r="E26" s="50"/>
      <c r="F26" s="50"/>
      <c r="G26" s="50"/>
      <c r="H26" s="50"/>
      <c r="I26" s="50"/>
      <c r="J26" s="50"/>
      <c r="K26" s="50"/>
      <c r="L26" s="178"/>
      <c r="M26" s="50"/>
      <c r="N26" s="50">
        <f t="shared" si="2"/>
        <v>-1077566.7620000001</v>
      </c>
      <c r="O26" s="50">
        <f>3957208+1404505</f>
        <v>5361713</v>
      </c>
      <c r="P26" s="50"/>
      <c r="Q26" s="50">
        <v>3609365.9896320002</v>
      </c>
      <c r="R26" s="44">
        <v>9200000</v>
      </c>
      <c r="S26" s="44">
        <v>0</v>
      </c>
      <c r="T26" s="50">
        <v>180000</v>
      </c>
      <c r="V26" s="50">
        <f t="shared" si="1"/>
        <v>17273512.227632001</v>
      </c>
      <c r="W26" s="162"/>
      <c r="X26" s="50">
        <v>26260862</v>
      </c>
      <c r="Y26" s="174">
        <f>T26/0.26</f>
        <v>692307.69230769225</v>
      </c>
      <c r="Z26" s="174">
        <f>SUM(B27:T27)</f>
        <v>0</v>
      </c>
      <c r="AB26" s="161"/>
    </row>
    <row r="27" spans="1:28">
      <c r="A27" s="172" t="s">
        <v>83</v>
      </c>
      <c r="B27" s="44"/>
      <c r="C27" s="44"/>
      <c r="D27" s="44"/>
      <c r="E27" s="44"/>
      <c r="F27" s="44"/>
      <c r="G27" s="44"/>
      <c r="H27" s="44"/>
      <c r="I27" s="44"/>
      <c r="J27" s="44"/>
      <c r="K27" s="44"/>
      <c r="L27" s="177"/>
      <c r="M27" s="44"/>
      <c r="N27" s="50">
        <f t="shared" si="2"/>
        <v>0</v>
      </c>
      <c r="O27" s="50">
        <v>0</v>
      </c>
      <c r="P27" s="50"/>
      <c r="Q27" s="50">
        <v>0</v>
      </c>
      <c r="R27" s="50"/>
      <c r="S27" s="50">
        <v>0</v>
      </c>
      <c r="T27" s="50">
        <v>0</v>
      </c>
      <c r="V27" s="44">
        <f t="shared" si="1"/>
        <v>0</v>
      </c>
      <c r="W27" s="162"/>
      <c r="X27" s="44">
        <v>0</v>
      </c>
      <c r="Y27" s="174"/>
      <c r="Z27" s="174"/>
      <c r="AB27" s="161"/>
    </row>
    <row r="28" spans="1:28">
      <c r="A28" s="173" t="s">
        <v>84</v>
      </c>
      <c r="B28" s="40"/>
      <c r="C28" s="40"/>
      <c r="D28" s="40"/>
      <c r="E28" s="40"/>
      <c r="F28" s="40"/>
      <c r="G28" s="40"/>
      <c r="H28" s="40"/>
      <c r="I28" s="40"/>
      <c r="J28" s="40"/>
      <c r="K28" s="40"/>
      <c r="L28" s="176"/>
      <c r="M28" s="40"/>
      <c r="N28" s="39">
        <f t="shared" si="2"/>
        <v>-22200</v>
      </c>
      <c r="O28" s="39">
        <v>0</v>
      </c>
      <c r="P28" s="39"/>
      <c r="Q28" s="39">
        <v>1710259.38</v>
      </c>
      <c r="R28" s="40">
        <v>300000</v>
      </c>
      <c r="S28" s="40">
        <v>0</v>
      </c>
      <c r="T28" s="39">
        <v>0</v>
      </c>
      <c r="V28" s="40">
        <f>SUM(B28:T28)</f>
        <v>1988059.38</v>
      </c>
      <c r="W28" s="162"/>
      <c r="X28" s="40">
        <v>2999580</v>
      </c>
      <c r="Y28" s="174"/>
      <c r="Z28" s="174"/>
      <c r="AB28" s="161"/>
    </row>
    <row r="29" spans="1:28">
      <c r="A29" s="49" t="s">
        <v>86</v>
      </c>
      <c r="B29" s="50"/>
      <c r="C29" s="50"/>
      <c r="D29" s="50"/>
      <c r="E29" s="50"/>
      <c r="F29" s="50"/>
      <c r="G29" s="50"/>
      <c r="H29" s="50"/>
      <c r="I29" s="50"/>
      <c r="J29" s="50"/>
      <c r="K29" s="50"/>
      <c r="L29" s="178"/>
      <c r="M29" s="50"/>
      <c r="N29" s="50">
        <v>0</v>
      </c>
      <c r="O29" s="50">
        <v>0</v>
      </c>
      <c r="P29" s="50"/>
      <c r="Q29" s="50">
        <f>'Differential Tuition Allocation'!F22</f>
        <v>0</v>
      </c>
      <c r="R29" s="50">
        <v>21222276</v>
      </c>
      <c r="S29" s="50">
        <v>0</v>
      </c>
      <c r="T29" s="50">
        <v>0</v>
      </c>
      <c r="V29" s="50">
        <f t="shared" si="1"/>
        <v>21222276</v>
      </c>
      <c r="W29" s="162"/>
      <c r="X29" s="50">
        <v>19821377</v>
      </c>
      <c r="Y29" s="174"/>
      <c r="Z29" s="174"/>
      <c r="AB29" s="161"/>
    </row>
    <row r="30" spans="1:28">
      <c r="A30" s="172" t="s">
        <v>1603</v>
      </c>
      <c r="B30" s="44"/>
      <c r="C30" s="44"/>
      <c r="D30" s="44"/>
      <c r="E30" s="44"/>
      <c r="F30" s="44"/>
      <c r="G30" s="44"/>
      <c r="H30" s="44"/>
      <c r="I30" s="44"/>
      <c r="J30" s="44"/>
      <c r="K30" s="44"/>
      <c r="L30" s="177"/>
      <c r="M30" s="44"/>
      <c r="N30" s="50">
        <f t="shared" si="2"/>
        <v>0</v>
      </c>
      <c r="O30" s="50">
        <v>0</v>
      </c>
      <c r="P30" s="50"/>
      <c r="Q30" s="50">
        <f>'Differential Tuition Allocation'!F23</f>
        <v>0</v>
      </c>
      <c r="R30" s="44">
        <v>0</v>
      </c>
      <c r="S30" s="44">
        <v>0</v>
      </c>
      <c r="T30" s="50">
        <v>5263200</v>
      </c>
      <c r="U30" s="42"/>
      <c r="V30" s="44">
        <f t="shared" si="1"/>
        <v>5263200</v>
      </c>
      <c r="W30" s="162"/>
      <c r="X30" s="44">
        <v>3440000</v>
      </c>
      <c r="Y30" s="174"/>
      <c r="Z30" s="174"/>
      <c r="AB30" s="161"/>
    </row>
    <row r="31" spans="1:28">
      <c r="A31" s="359" t="s">
        <v>452</v>
      </c>
      <c r="B31" s="221"/>
      <c r="C31" s="221"/>
      <c r="D31" s="221"/>
      <c r="E31" s="221"/>
      <c r="F31" s="221"/>
      <c r="G31" s="221"/>
      <c r="H31" s="221"/>
      <c r="I31" s="221"/>
      <c r="J31" s="221"/>
      <c r="K31" s="221"/>
      <c r="L31" s="219"/>
      <c r="M31" s="221"/>
      <c r="N31" s="39">
        <f t="shared" si="2"/>
        <v>0</v>
      </c>
      <c r="O31" s="39">
        <v>0</v>
      </c>
      <c r="P31" s="39"/>
      <c r="Q31" s="39">
        <f>'Differential Tuition Allocation'!F24</f>
        <v>0</v>
      </c>
      <c r="R31" s="221">
        <v>0</v>
      </c>
      <c r="S31" s="221">
        <v>0</v>
      </c>
      <c r="T31" s="39"/>
      <c r="U31" s="219"/>
      <c r="V31" s="221">
        <f>SUM(B31:T31)</f>
        <v>0</v>
      </c>
      <c r="W31" s="162"/>
      <c r="X31" s="221">
        <v>816537</v>
      </c>
      <c r="Y31" s="174"/>
    </row>
    <row r="32" spans="1:28">
      <c r="A32" s="358" t="s">
        <v>453</v>
      </c>
      <c r="B32" s="50"/>
      <c r="C32" s="50"/>
      <c r="D32" s="50"/>
      <c r="E32" s="50"/>
      <c r="F32" s="50"/>
      <c r="G32" s="50"/>
      <c r="H32" s="50"/>
      <c r="I32" s="50"/>
      <c r="J32" s="50"/>
      <c r="K32" s="50"/>
      <c r="L32" s="42"/>
      <c r="M32" s="50"/>
      <c r="N32" s="50">
        <f t="shared" si="2"/>
        <v>0</v>
      </c>
      <c r="O32" s="50"/>
      <c r="P32" s="50"/>
      <c r="Q32" s="50">
        <f>'Differential Tuition Allocation'!F25</f>
        <v>0</v>
      </c>
      <c r="R32" s="50">
        <v>0</v>
      </c>
      <c r="S32" s="50">
        <v>0</v>
      </c>
      <c r="T32" s="50"/>
      <c r="U32" s="42"/>
      <c r="V32" s="50">
        <f t="shared" si="1"/>
        <v>0</v>
      </c>
      <c r="W32" s="162"/>
      <c r="X32" s="50">
        <v>957607</v>
      </c>
      <c r="Y32" s="174"/>
    </row>
    <row r="33" spans="1:28">
      <c r="A33" s="172" t="s">
        <v>88</v>
      </c>
      <c r="B33" s="44"/>
      <c r="C33" s="44"/>
      <c r="D33" s="44"/>
      <c r="E33" s="44"/>
      <c r="F33" s="44"/>
      <c r="G33" s="44"/>
      <c r="H33" s="44"/>
      <c r="I33" s="44"/>
      <c r="J33" s="44"/>
      <c r="K33" s="44"/>
      <c r="L33" s="177"/>
      <c r="M33" s="44"/>
      <c r="N33" s="50">
        <f t="shared" si="2"/>
        <v>-19667.72</v>
      </c>
      <c r="O33" s="50">
        <v>51053</v>
      </c>
      <c r="P33" s="50"/>
      <c r="Q33" s="166">
        <f>'Differential Tuition Allocation'!F26</f>
        <v>0</v>
      </c>
      <c r="R33" s="50">
        <v>104000</v>
      </c>
      <c r="S33" s="44">
        <v>110727</v>
      </c>
      <c r="T33" s="50">
        <v>2631600</v>
      </c>
      <c r="U33" s="42"/>
      <c r="V33" s="44">
        <f t="shared" si="1"/>
        <v>2877712.28</v>
      </c>
      <c r="W33" s="162"/>
      <c r="X33" s="44">
        <v>14975151</v>
      </c>
      <c r="Y33" s="174"/>
    </row>
    <row r="34" spans="1:28">
      <c r="A34" s="359" t="s">
        <v>89</v>
      </c>
      <c r="B34" s="221"/>
      <c r="C34" s="221"/>
      <c r="D34" s="221"/>
      <c r="E34" s="221"/>
      <c r="F34" s="221"/>
      <c r="G34" s="221"/>
      <c r="H34" s="221"/>
      <c r="I34" s="221"/>
      <c r="J34" s="221"/>
      <c r="K34" s="221"/>
      <c r="L34" s="360"/>
      <c r="M34" s="221"/>
      <c r="N34" s="39">
        <f t="shared" si="2"/>
        <v>-102890.19200000001</v>
      </c>
      <c r="O34" s="222">
        <f>267582+216059</f>
        <v>483641</v>
      </c>
      <c r="P34" s="222"/>
      <c r="Q34" s="361">
        <f>'Differential Tuition Allocation'!F27</f>
        <v>0</v>
      </c>
      <c r="R34" s="221">
        <v>750000</v>
      </c>
      <c r="S34" s="221">
        <v>156767</v>
      </c>
      <c r="T34" s="222">
        <v>690500</v>
      </c>
      <c r="U34" s="219"/>
      <c r="V34" s="221">
        <f>SUM(B34:T34)</f>
        <v>1978017.808</v>
      </c>
      <c r="W34" s="162"/>
      <c r="X34" s="221">
        <v>11507823</v>
      </c>
      <c r="Y34" s="174"/>
    </row>
    <row r="35" spans="1:28">
      <c r="A35" s="362" t="s">
        <v>90</v>
      </c>
      <c r="B35" s="363">
        <f>SUM(B16:B34)</f>
        <v>0</v>
      </c>
      <c r="C35" s="363">
        <f>SUM(C16:C34)</f>
        <v>0</v>
      </c>
      <c r="D35" s="363"/>
      <c r="E35" s="363">
        <f>SUM(E16:E34)</f>
        <v>0</v>
      </c>
      <c r="F35" s="363"/>
      <c r="G35" s="363">
        <f>SUM(G16:G34)</f>
        <v>0</v>
      </c>
      <c r="H35" s="363">
        <f>SUM(H16:H34)</f>
        <v>0</v>
      </c>
      <c r="I35" s="363">
        <f>SUM(I16:I34)</f>
        <v>0</v>
      </c>
      <c r="J35" s="363">
        <f>SUM(J16:J34)</f>
        <v>0</v>
      </c>
      <c r="K35" s="363"/>
      <c r="L35" s="363">
        <f>SUM(L16:L34)</f>
        <v>0</v>
      </c>
      <c r="M35" s="363"/>
      <c r="N35" s="363">
        <f t="shared" ref="N35:S35" si="3">SUM(N16:N34)</f>
        <v>-2644029.9160000002</v>
      </c>
      <c r="O35" s="363">
        <f>SUM(O16:O34)</f>
        <v>18903771</v>
      </c>
      <c r="P35" s="363"/>
      <c r="Q35" s="363">
        <f>SUM(Q16:Q34)</f>
        <v>21928404.167763758</v>
      </c>
      <c r="R35" s="363">
        <f t="shared" si="3"/>
        <v>39146276</v>
      </c>
      <c r="S35" s="363">
        <f t="shared" si="3"/>
        <v>1902363</v>
      </c>
      <c r="T35" s="363">
        <f>SUM(T16:T34)</f>
        <v>19695300</v>
      </c>
      <c r="U35" s="364"/>
      <c r="V35" s="363">
        <f>SUM(V16:V34)</f>
        <v>98932084.251763761</v>
      </c>
      <c r="W35" s="162"/>
      <c r="X35" s="1825">
        <f>SUM(X16:X34)</f>
        <v>347579114</v>
      </c>
    </row>
    <row r="36" spans="1:28">
      <c r="A36" s="172"/>
      <c r="B36" s="42"/>
      <c r="C36" s="42"/>
      <c r="D36" s="42"/>
      <c r="E36" s="42"/>
      <c r="F36" s="42"/>
      <c r="G36" s="42"/>
      <c r="H36" s="42"/>
      <c r="I36" s="42"/>
      <c r="J36" s="42"/>
      <c r="K36" s="42"/>
      <c r="L36" s="42"/>
      <c r="M36" s="42"/>
      <c r="N36" s="42"/>
      <c r="O36" s="42"/>
      <c r="P36" s="42"/>
      <c r="Q36" s="42"/>
      <c r="R36" s="46"/>
      <c r="S36" s="42"/>
      <c r="T36" s="42"/>
      <c r="U36" s="42"/>
      <c r="V36" s="42"/>
      <c r="W36" s="162"/>
      <c r="X36" s="42"/>
    </row>
    <row r="37" spans="1:28">
      <c r="A37" s="162"/>
      <c r="T37" s="12"/>
      <c r="W37" s="167"/>
    </row>
    <row r="38" spans="1:28">
      <c r="A38" s="49" t="s">
        <v>91</v>
      </c>
      <c r="B38" s="50"/>
      <c r="C38" s="50"/>
      <c r="D38" s="50"/>
      <c r="E38" s="50"/>
      <c r="F38" s="50"/>
      <c r="G38" s="50"/>
      <c r="H38" s="50"/>
      <c r="I38" s="50"/>
      <c r="J38" s="50"/>
      <c r="K38" s="50"/>
      <c r="L38" s="50"/>
      <c r="M38" s="50"/>
      <c r="N38" s="50"/>
      <c r="O38" s="50"/>
      <c r="P38" s="50"/>
      <c r="Q38" s="50"/>
      <c r="R38" s="50"/>
      <c r="S38" s="50"/>
      <c r="T38" s="50"/>
      <c r="V38" s="50"/>
      <c r="W38" s="162"/>
      <c r="X38" s="50"/>
      <c r="Z38" s="1750"/>
      <c r="AB38" s="161"/>
    </row>
    <row r="39" spans="1:28">
      <c r="A39" s="173" t="s">
        <v>92</v>
      </c>
      <c r="B39" s="40"/>
      <c r="C39" s="40"/>
      <c r="D39" s="40"/>
      <c r="E39" s="40"/>
      <c r="F39" s="176"/>
      <c r="G39" s="176"/>
      <c r="H39" s="176"/>
      <c r="I39" s="176"/>
      <c r="J39" s="176"/>
      <c r="K39" s="176"/>
      <c r="L39" s="176"/>
      <c r="M39" s="40"/>
      <c r="N39" s="39">
        <f t="shared" ref="N39:N57" si="4">-O$3*O39-Q$3*Q39-R$3*R39-S$3*S39-T$3*T39</f>
        <v>0</v>
      </c>
      <c r="O39" s="39">
        <v>0</v>
      </c>
      <c r="P39" s="39"/>
      <c r="Q39" s="164"/>
      <c r="R39" s="40">
        <v>0</v>
      </c>
      <c r="S39" s="39">
        <v>0</v>
      </c>
      <c r="T39" s="384"/>
      <c r="V39" s="40">
        <f t="shared" ref="V39:V57" si="5">SUM(B39:T39)</f>
        <v>0</v>
      </c>
      <c r="W39" s="162"/>
      <c r="X39" s="40">
        <v>8919523</v>
      </c>
      <c r="Y39" s="174"/>
      <c r="Z39" s="1750"/>
      <c r="AB39" s="161"/>
    </row>
    <row r="40" spans="1:28">
      <c r="A40" s="358" t="s">
        <v>336</v>
      </c>
      <c r="B40" s="50"/>
      <c r="C40" s="50"/>
      <c r="D40" s="50"/>
      <c r="E40" s="44"/>
      <c r="F40" s="50"/>
      <c r="G40" s="50"/>
      <c r="H40" s="50"/>
      <c r="I40" s="50"/>
      <c r="J40" s="50"/>
      <c r="K40" s="50"/>
      <c r="L40" s="178"/>
      <c r="M40" s="50"/>
      <c r="N40" s="50">
        <f>-O$3*O40-Q$3*Q40-R$3*R40-S$3*S40-T$3*T40</f>
        <v>0</v>
      </c>
      <c r="O40" s="50">
        <v>0</v>
      </c>
      <c r="P40" s="50"/>
      <c r="Q40" s="175"/>
      <c r="R40" s="44">
        <v>0</v>
      </c>
      <c r="S40" s="44">
        <v>0</v>
      </c>
      <c r="T40" s="379">
        <v>0</v>
      </c>
      <c r="V40" s="50">
        <f>SUM(B40:T40)</f>
        <v>0</v>
      </c>
      <c r="W40" s="162"/>
      <c r="X40" s="50">
        <v>7177760</v>
      </c>
      <c r="Y40" s="174"/>
      <c r="Z40" s="1750"/>
      <c r="AB40" s="161"/>
    </row>
    <row r="41" spans="1:28">
      <c r="A41" s="172" t="s">
        <v>93</v>
      </c>
      <c r="B41" s="50"/>
      <c r="C41" s="50"/>
      <c r="D41" s="50"/>
      <c r="E41" s="44"/>
      <c r="F41" s="50"/>
      <c r="G41" s="50"/>
      <c r="H41" s="50"/>
      <c r="I41" s="50"/>
      <c r="J41" s="50"/>
      <c r="K41" s="50"/>
      <c r="L41" s="178"/>
      <c r="M41" s="50"/>
      <c r="N41" s="50">
        <f t="shared" si="4"/>
        <v>-666</v>
      </c>
      <c r="O41" s="50">
        <v>0</v>
      </c>
      <c r="P41" s="50"/>
      <c r="Q41" s="175"/>
      <c r="R41" s="44">
        <v>9000</v>
      </c>
      <c r="S41" s="44">
        <v>0</v>
      </c>
      <c r="T41" s="379">
        <v>0</v>
      </c>
      <c r="V41" s="50">
        <f t="shared" si="5"/>
        <v>8334</v>
      </c>
      <c r="W41" s="162"/>
      <c r="X41" s="50">
        <v>4081953</v>
      </c>
      <c r="Y41" s="174"/>
      <c r="Z41" s="1750"/>
      <c r="AB41" s="161"/>
    </row>
    <row r="42" spans="1:28">
      <c r="A42" s="49" t="s">
        <v>94</v>
      </c>
      <c r="B42" s="50"/>
      <c r="C42" s="50"/>
      <c r="D42" s="50"/>
      <c r="E42" s="44"/>
      <c r="F42" s="178"/>
      <c r="G42" s="178"/>
      <c r="H42" s="178"/>
      <c r="I42" s="178"/>
      <c r="J42" s="178"/>
      <c r="K42" s="178"/>
      <c r="L42" s="178"/>
      <c r="M42" s="50"/>
      <c r="N42" s="50">
        <f t="shared" si="4"/>
        <v>0</v>
      </c>
      <c r="O42" s="50">
        <v>0</v>
      </c>
      <c r="P42" s="50"/>
      <c r="Q42" s="50"/>
      <c r="R42" s="50">
        <v>0</v>
      </c>
      <c r="S42" s="50">
        <v>0</v>
      </c>
      <c r="T42" s="374"/>
      <c r="V42" s="50">
        <f t="shared" si="5"/>
        <v>0</v>
      </c>
      <c r="W42" s="162"/>
      <c r="X42" s="50">
        <v>1512825</v>
      </c>
      <c r="Y42" s="174"/>
      <c r="Z42" s="1750"/>
      <c r="AB42" s="161"/>
    </row>
    <row r="43" spans="1:28">
      <c r="A43" s="173" t="s">
        <v>95</v>
      </c>
      <c r="B43" s="40"/>
      <c r="C43" s="40"/>
      <c r="D43" s="40"/>
      <c r="E43" s="40"/>
      <c r="F43" s="176"/>
      <c r="G43" s="176"/>
      <c r="H43" s="176"/>
      <c r="I43" s="176"/>
      <c r="J43" s="176"/>
      <c r="K43" s="176"/>
      <c r="L43" s="176"/>
      <c r="M43" s="40"/>
      <c r="N43" s="39">
        <f t="shared" si="4"/>
        <v>0</v>
      </c>
      <c r="O43" s="39">
        <v>0</v>
      </c>
      <c r="P43" s="39"/>
      <c r="Q43" s="164"/>
      <c r="R43" s="40">
        <v>0</v>
      </c>
      <c r="S43" s="39">
        <v>0</v>
      </c>
      <c r="T43" s="384">
        <v>0</v>
      </c>
      <c r="V43" s="40">
        <f t="shared" si="5"/>
        <v>0</v>
      </c>
      <c r="W43" s="162"/>
      <c r="X43" s="40">
        <v>2951197</v>
      </c>
      <c r="Y43" s="174"/>
      <c r="Z43" s="1750"/>
      <c r="AB43" s="161"/>
    </row>
    <row r="44" spans="1:28">
      <c r="A44" s="172" t="s">
        <v>96</v>
      </c>
      <c r="B44" s="50"/>
      <c r="C44" s="50"/>
      <c r="D44" s="50"/>
      <c r="E44" s="50"/>
      <c r="F44" s="50"/>
      <c r="G44" s="50"/>
      <c r="H44" s="50"/>
      <c r="I44" s="50"/>
      <c r="J44" s="50"/>
      <c r="K44" s="50"/>
      <c r="L44" s="178"/>
      <c r="M44" s="50"/>
      <c r="N44" s="50">
        <f t="shared" si="4"/>
        <v>-247900</v>
      </c>
      <c r="O44" s="50"/>
      <c r="P44" s="50"/>
      <c r="Q44" s="175"/>
      <c r="R44" s="44">
        <v>3350000</v>
      </c>
      <c r="S44" s="44">
        <v>0</v>
      </c>
      <c r="T44" s="379"/>
      <c r="V44" s="50">
        <f t="shared" si="5"/>
        <v>3102100</v>
      </c>
      <c r="W44" s="162"/>
      <c r="X44" s="50">
        <v>10531320</v>
      </c>
      <c r="Y44" s="174"/>
      <c r="Z44" s="1750"/>
      <c r="AB44" s="161"/>
    </row>
    <row r="45" spans="1:28">
      <c r="A45" s="358" t="s">
        <v>474</v>
      </c>
      <c r="B45" s="50"/>
      <c r="C45" s="50"/>
      <c r="D45" s="50"/>
      <c r="E45" s="50"/>
      <c r="F45" s="50"/>
      <c r="G45" s="50"/>
      <c r="H45" s="50"/>
      <c r="I45" s="50"/>
      <c r="J45" s="50"/>
      <c r="K45" s="50"/>
      <c r="L45" s="178"/>
      <c r="M45" s="50"/>
      <c r="N45" s="50">
        <f t="shared" si="4"/>
        <v>-141710</v>
      </c>
      <c r="O45" s="50"/>
      <c r="P45" s="50"/>
      <c r="Q45" s="175"/>
      <c r="R45" s="44">
        <v>1915000</v>
      </c>
      <c r="S45" s="44">
        <v>0</v>
      </c>
      <c r="T45" s="379"/>
      <c r="V45" s="50">
        <f t="shared" si="5"/>
        <v>1773290</v>
      </c>
      <c r="W45" s="162"/>
      <c r="X45" s="50">
        <v>6381261</v>
      </c>
      <c r="Y45" s="174"/>
      <c r="Z45" s="1750"/>
      <c r="AB45" s="161"/>
    </row>
    <row r="46" spans="1:28">
      <c r="A46" s="172" t="s">
        <v>1947</v>
      </c>
      <c r="B46" s="50"/>
      <c r="C46" s="50"/>
      <c r="D46" s="50"/>
      <c r="E46" s="50"/>
      <c r="F46" s="50"/>
      <c r="G46" s="50"/>
      <c r="H46" s="50">
        <f>-N$59*AB11</f>
        <v>678606.19400000002</v>
      </c>
      <c r="I46" s="50"/>
      <c r="J46" s="50"/>
      <c r="K46" s="50"/>
      <c r="L46" s="178"/>
      <c r="M46" s="50"/>
      <c r="N46" s="50">
        <f t="shared" si="4"/>
        <v>-3700</v>
      </c>
      <c r="O46" s="50">
        <v>0</v>
      </c>
      <c r="P46" s="50"/>
      <c r="Q46" s="175"/>
      <c r="R46" s="44">
        <v>50000</v>
      </c>
      <c r="S46" s="44">
        <v>0</v>
      </c>
      <c r="T46" s="379">
        <v>0</v>
      </c>
      <c r="V46" s="50">
        <f>SUM(B46:T46)</f>
        <v>724906.19400000002</v>
      </c>
      <c r="W46" s="162"/>
      <c r="X46" s="50">
        <v>1904613</v>
      </c>
      <c r="Y46" s="174"/>
      <c r="Z46" s="1750"/>
      <c r="AB46" s="161"/>
    </row>
    <row r="47" spans="1:28">
      <c r="A47" s="173" t="s">
        <v>98</v>
      </c>
      <c r="B47" s="40"/>
      <c r="C47" s="40"/>
      <c r="D47" s="40"/>
      <c r="E47" s="40"/>
      <c r="F47" s="40"/>
      <c r="G47" s="40">
        <f>-N$59*AB12</f>
        <v>1066381.162</v>
      </c>
      <c r="H47" s="40"/>
      <c r="I47" s="40"/>
      <c r="J47" s="40"/>
      <c r="K47" s="40"/>
      <c r="L47" s="176"/>
      <c r="M47" s="40"/>
      <c r="N47" s="39">
        <f t="shared" si="4"/>
        <v>-14800</v>
      </c>
      <c r="O47" s="39">
        <v>0</v>
      </c>
      <c r="P47" s="39"/>
      <c r="Q47" s="164"/>
      <c r="R47" s="40">
        <v>200000</v>
      </c>
      <c r="S47" s="39">
        <v>0</v>
      </c>
      <c r="T47" s="384">
        <v>2631600</v>
      </c>
      <c r="V47" s="40">
        <f t="shared" si="5"/>
        <v>3883181.162</v>
      </c>
      <c r="W47" s="162"/>
      <c r="X47" s="40">
        <v>23770557</v>
      </c>
      <c r="Y47" s="174"/>
      <c r="Z47" s="1750"/>
      <c r="AB47" s="161"/>
    </row>
    <row r="48" spans="1:28">
      <c r="A48" s="172" t="s">
        <v>475</v>
      </c>
      <c r="B48" s="50"/>
      <c r="C48" s="50"/>
      <c r="D48" s="50"/>
      <c r="E48" s="50"/>
      <c r="F48" s="50"/>
      <c r="G48" s="50">
        <f>-N$59*AB13</f>
        <v>242359.35500000001</v>
      </c>
      <c r="H48" s="50"/>
      <c r="I48" s="50"/>
      <c r="J48" s="50"/>
      <c r="K48" s="50"/>
      <c r="L48" s="178"/>
      <c r="M48" s="50"/>
      <c r="N48" s="50">
        <f t="shared" si="4"/>
        <v>-77700</v>
      </c>
      <c r="O48" s="50">
        <v>0</v>
      </c>
      <c r="P48" s="50"/>
      <c r="Q48" s="175"/>
      <c r="R48" s="44">
        <v>1050000</v>
      </c>
      <c r="S48" s="44">
        <v>0</v>
      </c>
      <c r="T48" s="379">
        <v>438600</v>
      </c>
      <c r="V48" s="50">
        <f t="shared" si="5"/>
        <v>1653259.355</v>
      </c>
      <c r="W48" s="162"/>
      <c r="X48" s="50">
        <v>4978877</v>
      </c>
      <c r="Y48" s="174"/>
      <c r="Z48" s="174"/>
      <c r="AB48" s="161"/>
    </row>
    <row r="49" spans="1:29">
      <c r="A49" s="49" t="s">
        <v>85</v>
      </c>
      <c r="B49" s="50"/>
      <c r="C49" s="50"/>
      <c r="D49" s="50"/>
      <c r="E49" s="50"/>
      <c r="F49" s="50"/>
      <c r="G49" s="50"/>
      <c r="H49" s="50"/>
      <c r="I49" s="50"/>
      <c r="J49" s="50"/>
      <c r="K49" s="50"/>
      <c r="L49" s="178"/>
      <c r="M49" s="50"/>
      <c r="N49" s="50">
        <f t="shared" si="4"/>
        <v>-3330</v>
      </c>
      <c r="O49" s="50">
        <v>0</v>
      </c>
      <c r="P49" s="50"/>
      <c r="Q49" s="175"/>
      <c r="R49" s="44">
        <v>45000</v>
      </c>
      <c r="S49" s="44">
        <v>0</v>
      </c>
      <c r="T49" s="374">
        <v>0</v>
      </c>
      <c r="V49" s="50">
        <f t="shared" si="5"/>
        <v>41670</v>
      </c>
      <c r="W49" s="162"/>
      <c r="X49" s="50">
        <v>1507856</v>
      </c>
      <c r="Y49" s="174"/>
      <c r="Z49" s="174"/>
      <c r="AB49" s="161"/>
    </row>
    <row r="50" spans="1:29">
      <c r="A50" s="359" t="s">
        <v>99</v>
      </c>
      <c r="B50" s="222"/>
      <c r="C50" s="222"/>
      <c r="D50" s="222"/>
      <c r="E50" s="222"/>
      <c r="F50" s="222"/>
      <c r="G50" s="222">
        <f>-N$59*AB14</f>
        <v>242359.35500000001</v>
      </c>
      <c r="H50" s="222"/>
      <c r="I50" s="222"/>
      <c r="J50" s="222"/>
      <c r="K50" s="222"/>
      <c r="L50" s="376"/>
      <c r="M50" s="222"/>
      <c r="N50" s="222">
        <f t="shared" si="4"/>
        <v>0</v>
      </c>
      <c r="O50" s="222">
        <v>0</v>
      </c>
      <c r="P50" s="222"/>
      <c r="Q50" s="361"/>
      <c r="R50" s="221">
        <v>0</v>
      </c>
      <c r="S50" s="221">
        <v>0</v>
      </c>
      <c r="T50" s="384">
        <f>150000+3508800</f>
        <v>3658800</v>
      </c>
      <c r="U50" s="219"/>
      <c r="V50" s="222">
        <f t="shared" si="5"/>
        <v>3901159.355</v>
      </c>
      <c r="W50" s="162"/>
      <c r="X50" s="222">
        <v>7933343</v>
      </c>
      <c r="Y50" s="174"/>
      <c r="Z50" s="174"/>
      <c r="AB50" s="161"/>
    </row>
    <row r="51" spans="1:29">
      <c r="A51" s="172" t="s">
        <v>100</v>
      </c>
      <c r="B51" s="44"/>
      <c r="C51" s="44"/>
      <c r="D51" s="44"/>
      <c r="E51" s="44"/>
      <c r="F51" s="44"/>
      <c r="G51" s="44"/>
      <c r="H51" s="44"/>
      <c r="I51" s="44"/>
      <c r="J51" s="44"/>
      <c r="K51" s="44"/>
      <c r="L51" s="177"/>
      <c r="M51" s="44"/>
      <c r="N51" s="50">
        <f t="shared" si="4"/>
        <v>-112682.538</v>
      </c>
      <c r="O51" s="50">
        <v>75737</v>
      </c>
      <c r="P51" s="50"/>
      <c r="Q51" s="166"/>
      <c r="R51" s="44">
        <v>1447000</v>
      </c>
      <c r="S51" s="50">
        <v>0</v>
      </c>
      <c r="T51" s="374">
        <v>0</v>
      </c>
      <c r="U51" s="42"/>
      <c r="V51" s="44">
        <f t="shared" si="5"/>
        <v>1410054.4620000001</v>
      </c>
      <c r="W51" s="162"/>
      <c r="X51" s="44">
        <v>13396050</v>
      </c>
      <c r="Y51" s="174"/>
      <c r="Z51" s="1753" t="s">
        <v>65</v>
      </c>
      <c r="AA51" s="1754" t="s">
        <v>1496</v>
      </c>
      <c r="AB51" s="1755" t="s">
        <v>961</v>
      </c>
      <c r="AC51" s="1754" t="s">
        <v>1720</v>
      </c>
    </row>
    <row r="52" spans="1:29">
      <c r="A52" s="172" t="s">
        <v>101</v>
      </c>
      <c r="B52" s="50"/>
      <c r="C52" s="50"/>
      <c r="D52" s="50"/>
      <c r="E52" s="50"/>
      <c r="F52" s="50"/>
      <c r="G52" s="50"/>
      <c r="H52" s="50"/>
      <c r="I52" s="50"/>
      <c r="J52" s="50">
        <f>-N$59*AB15</f>
        <v>533190.58100000001</v>
      </c>
      <c r="K52" s="50"/>
      <c r="L52" s="178"/>
      <c r="M52" s="50"/>
      <c r="N52" s="50">
        <f t="shared" si="4"/>
        <v>0</v>
      </c>
      <c r="O52" s="50">
        <v>0</v>
      </c>
      <c r="P52" s="50"/>
      <c r="Q52" s="175"/>
      <c r="R52" s="44">
        <v>0</v>
      </c>
      <c r="S52" s="44">
        <v>0</v>
      </c>
      <c r="T52" s="379">
        <v>1754400</v>
      </c>
      <c r="U52" s="42"/>
      <c r="V52" s="50">
        <f t="shared" si="5"/>
        <v>2287590.5810000002</v>
      </c>
      <c r="W52" s="162"/>
      <c r="X52" s="50">
        <v>13613698</v>
      </c>
      <c r="Y52" s="174"/>
      <c r="Z52" s="1751" t="s">
        <v>62</v>
      </c>
      <c r="AA52" s="497">
        <v>186085</v>
      </c>
      <c r="AB52" s="1060">
        <v>18121430</v>
      </c>
      <c r="AC52" s="1752">
        <f t="shared" ref="AC52:AC57" si="6">AB52/AA52</f>
        <v>97.382540236988476</v>
      </c>
    </row>
    <row r="53" spans="1:29">
      <c r="A53" s="359" t="s">
        <v>102</v>
      </c>
      <c r="B53" s="222"/>
      <c r="C53" s="222"/>
      <c r="D53" s="222"/>
      <c r="E53" s="222"/>
      <c r="F53" s="222"/>
      <c r="G53" s="222"/>
      <c r="H53" s="222"/>
      <c r="I53" s="222"/>
      <c r="J53" s="222">
        <f>-N$59*(AB17+AB16)</f>
        <v>824021.80700000003</v>
      </c>
      <c r="K53" s="222"/>
      <c r="L53" s="376"/>
      <c r="M53" s="222"/>
      <c r="N53" s="222">
        <f t="shared" si="4"/>
        <v>-65120</v>
      </c>
      <c r="O53" s="222">
        <v>0</v>
      </c>
      <c r="P53" s="222"/>
      <c r="Q53" s="361"/>
      <c r="R53" s="221">
        <f>950000-70000</f>
        <v>880000</v>
      </c>
      <c r="S53" s="221">
        <v>0</v>
      </c>
      <c r="T53" s="384">
        <v>1754400</v>
      </c>
      <c r="U53" s="219"/>
      <c r="V53" s="222">
        <f t="shared" si="5"/>
        <v>3393301.807</v>
      </c>
      <c r="W53" s="162"/>
      <c r="X53" s="222">
        <v>30168812</v>
      </c>
      <c r="Y53" s="174"/>
      <c r="Z53" s="1751" t="s">
        <v>417</v>
      </c>
      <c r="AA53" s="497">
        <v>218103</v>
      </c>
      <c r="AB53" s="1060">
        <v>15772348</v>
      </c>
      <c r="AC53" s="1752">
        <f t="shared" si="6"/>
        <v>72.316052507301592</v>
      </c>
    </row>
    <row r="54" spans="1:29">
      <c r="A54" s="172" t="s">
        <v>103</v>
      </c>
      <c r="B54" s="44"/>
      <c r="C54" s="44"/>
      <c r="D54" s="44"/>
      <c r="E54" s="44"/>
      <c r="F54" s="44"/>
      <c r="G54" s="44"/>
      <c r="H54" s="44"/>
      <c r="I54" s="44"/>
      <c r="J54" s="44"/>
      <c r="K54" s="44"/>
      <c r="L54" s="177"/>
      <c r="M54" s="44"/>
      <c r="N54" s="50">
        <f t="shared" si="4"/>
        <v>0</v>
      </c>
      <c r="O54" s="50">
        <v>0</v>
      </c>
      <c r="P54" s="50"/>
      <c r="Q54" s="166"/>
      <c r="R54" s="44">
        <v>0</v>
      </c>
      <c r="S54" s="50">
        <v>0</v>
      </c>
      <c r="T54" s="374">
        <v>4824600</v>
      </c>
      <c r="U54" s="42"/>
      <c r="V54" s="44">
        <f>SUM(B54:T54)</f>
        <v>4824600</v>
      </c>
      <c r="W54" s="162"/>
      <c r="X54" s="44">
        <v>18588968</v>
      </c>
      <c r="Y54" s="174"/>
      <c r="Z54" s="1751" t="s">
        <v>1718</v>
      </c>
      <c r="AA54" s="497">
        <v>252489</v>
      </c>
      <c r="AB54" s="1060">
        <v>18785225</v>
      </c>
      <c r="AC54" s="1752">
        <f t="shared" si="6"/>
        <v>74.40017188867634</v>
      </c>
    </row>
    <row r="55" spans="1:29">
      <c r="A55" s="172" t="s">
        <v>450</v>
      </c>
      <c r="B55" s="44"/>
      <c r="C55" s="44"/>
      <c r="D55" s="44"/>
      <c r="E55" s="44"/>
      <c r="F55" s="44"/>
      <c r="G55" s="44"/>
      <c r="H55" s="44"/>
      <c r="I55" s="44"/>
      <c r="J55" s="44"/>
      <c r="K55" s="44"/>
      <c r="L55" s="177"/>
      <c r="M55" s="44"/>
      <c r="N55" s="50">
        <f t="shared" si="4"/>
        <v>0</v>
      </c>
      <c r="O55" s="50">
        <v>0</v>
      </c>
      <c r="P55" s="50"/>
      <c r="Q55" s="166"/>
      <c r="R55" s="44">
        <v>0</v>
      </c>
      <c r="S55" s="50">
        <v>0</v>
      </c>
      <c r="T55" s="374">
        <v>0</v>
      </c>
      <c r="U55" s="42"/>
      <c r="V55" s="44">
        <f>SUM(B55:T55)</f>
        <v>0</v>
      </c>
      <c r="W55" s="162"/>
      <c r="X55" s="44">
        <v>0</v>
      </c>
      <c r="Y55" s="174"/>
      <c r="Z55" s="1751" t="s">
        <v>840</v>
      </c>
      <c r="AA55" s="497">
        <v>286655</v>
      </c>
      <c r="AB55" s="1060">
        <v>18786975</v>
      </c>
      <c r="AC55" s="1752">
        <f t="shared" si="6"/>
        <v>65.538626572011651</v>
      </c>
    </row>
    <row r="56" spans="1:29">
      <c r="A56" s="377" t="s">
        <v>476</v>
      </c>
      <c r="B56" s="221"/>
      <c r="C56" s="221"/>
      <c r="D56" s="221"/>
      <c r="E56" s="221"/>
      <c r="F56" s="221"/>
      <c r="G56" s="221"/>
      <c r="H56" s="221"/>
      <c r="I56" s="221"/>
      <c r="J56" s="221"/>
      <c r="K56" s="221"/>
      <c r="L56" s="360"/>
      <c r="M56" s="221"/>
      <c r="N56" s="222">
        <f t="shared" si="4"/>
        <v>0</v>
      </c>
      <c r="O56" s="222">
        <v>0</v>
      </c>
      <c r="P56" s="222"/>
      <c r="Q56" s="378"/>
      <c r="R56" s="221">
        <v>0</v>
      </c>
      <c r="S56" s="222">
        <v>0</v>
      </c>
      <c r="T56" s="384">
        <v>877200</v>
      </c>
      <c r="U56" s="219"/>
      <c r="V56" s="222">
        <f t="shared" si="5"/>
        <v>877200</v>
      </c>
      <c r="W56" s="162"/>
      <c r="X56" s="222">
        <v>2400967</v>
      </c>
      <c r="Y56" s="174"/>
      <c r="Z56" s="1751" t="s">
        <v>1719</v>
      </c>
      <c r="AA56" s="497">
        <v>306799</v>
      </c>
      <c r="AB56" s="1060">
        <f>20222090-392309</f>
        <v>19829781</v>
      </c>
      <c r="AC56" s="1752">
        <f t="shared" si="6"/>
        <v>64.634438182653795</v>
      </c>
    </row>
    <row r="57" spans="1:29" ht="16.5" thickBot="1">
      <c r="A57" s="172" t="s">
        <v>104</v>
      </c>
      <c r="B57" s="50"/>
      <c r="C57" s="50"/>
      <c r="D57" s="50"/>
      <c r="E57" s="50"/>
      <c r="F57" s="50"/>
      <c r="G57" s="50"/>
      <c r="H57" s="50"/>
      <c r="I57" s="50"/>
      <c r="J57" s="50"/>
      <c r="K57" s="50"/>
      <c r="L57" s="178"/>
      <c r="M57" s="50"/>
      <c r="N57" s="50">
        <f t="shared" si="4"/>
        <v>-5180</v>
      </c>
      <c r="O57" s="50">
        <v>0</v>
      </c>
      <c r="P57" s="50"/>
      <c r="Q57" s="175"/>
      <c r="R57" s="44">
        <v>70000</v>
      </c>
      <c r="S57" s="44">
        <v>0</v>
      </c>
      <c r="T57" s="374">
        <v>4386000</v>
      </c>
      <c r="V57" s="50">
        <f t="shared" si="5"/>
        <v>4450820</v>
      </c>
      <c r="W57" s="162"/>
      <c r="X57" s="50">
        <v>12293440</v>
      </c>
      <c r="Y57" s="174"/>
      <c r="Z57" s="382" t="s">
        <v>1588</v>
      </c>
      <c r="AA57" s="1756">
        <f>1.07*AA56</f>
        <v>328274.93</v>
      </c>
      <c r="AB57" s="1756">
        <v>21222276</v>
      </c>
      <c r="AC57" s="1757">
        <f t="shared" si="6"/>
        <v>64.647873049580724</v>
      </c>
    </row>
    <row r="58" spans="1:29" ht="16.5" thickTop="1">
      <c r="A58" s="366" t="s">
        <v>105</v>
      </c>
      <c r="B58" s="367">
        <f>SUM(B39:B57)</f>
        <v>0</v>
      </c>
      <c r="C58" s="367">
        <f>SUM(C39:C57)</f>
        <v>0</v>
      </c>
      <c r="D58" s="367"/>
      <c r="E58" s="367">
        <f>SUM(E39:E57)</f>
        <v>0</v>
      </c>
      <c r="F58" s="367"/>
      <c r="G58" s="367">
        <f>SUM(G39:G57)</f>
        <v>1551099.872</v>
      </c>
      <c r="H58" s="367">
        <f>SUM(H39:H57)</f>
        <v>678606.19400000002</v>
      </c>
      <c r="I58" s="367">
        <f>SUM(I39:I57)</f>
        <v>0</v>
      </c>
      <c r="J58" s="367">
        <f>SUM(J39:J57)</f>
        <v>1357212.388</v>
      </c>
      <c r="K58" s="367"/>
      <c r="L58" s="367">
        <f>SUM(L39:L57)</f>
        <v>0</v>
      </c>
      <c r="M58" s="367"/>
      <c r="N58" s="367">
        <f t="shared" ref="N58:T58" si="7">SUM(N39:N57)</f>
        <v>-672788.53799999994</v>
      </c>
      <c r="O58" s="367">
        <f t="shared" si="7"/>
        <v>75737</v>
      </c>
      <c r="P58" s="367"/>
      <c r="Q58" s="367">
        <f t="shared" si="7"/>
        <v>0</v>
      </c>
      <c r="R58" s="367">
        <f t="shared" si="7"/>
        <v>9016000</v>
      </c>
      <c r="S58" s="367">
        <f t="shared" si="7"/>
        <v>0</v>
      </c>
      <c r="T58" s="367">
        <f t="shared" si="7"/>
        <v>20325600</v>
      </c>
      <c r="U58" s="364"/>
      <c r="V58" s="367">
        <f>SUM(V39:V57)</f>
        <v>32331466.916000001</v>
      </c>
      <c r="W58" s="162"/>
      <c r="X58" s="1826">
        <f>SUM(X39:X57)</f>
        <v>172113020</v>
      </c>
      <c r="Y58" s="174"/>
      <c r="Z58" s="161"/>
      <c r="AA58" s="161"/>
      <c r="AB58" s="161"/>
    </row>
    <row r="59" spans="1:29" ht="16.5" thickBot="1">
      <c r="A59" s="368" t="s">
        <v>106</v>
      </c>
      <c r="B59" s="369">
        <f>B6+B7+B8+B9+B10+B11+B12+B35+B58</f>
        <v>0</v>
      </c>
      <c r="C59" s="369">
        <f>C6+C7+C8+C9+C10+C11+C12+C35+C58</f>
        <v>0</v>
      </c>
      <c r="D59" s="369"/>
      <c r="E59" s="369">
        <f>E6+E7+E8+E9+E10+E11+E12+E35+E58</f>
        <v>0</v>
      </c>
      <c r="F59" s="369"/>
      <c r="G59" s="369">
        <f>G6+G7+G8+G9+G10+G11+G12+G35+G58</f>
        <v>1551099.872</v>
      </c>
      <c r="H59" s="369">
        <f>H6+H7+H8+H9+H10+H11+H12+H35+H58</f>
        <v>678606.19400000002</v>
      </c>
      <c r="I59" s="369">
        <f>I6+I7+I8+I9+I10+I11+I12+I35+I58</f>
        <v>0</v>
      </c>
      <c r="J59" s="369">
        <f>J6+J7+J8+J9+J10+J11+J12+J35+J58</f>
        <v>1357212.388</v>
      </c>
      <c r="K59" s="369"/>
      <c r="L59" s="369">
        <f>L6+L7+L8+L9+L10+L11+L12+L35+L58</f>
        <v>0</v>
      </c>
      <c r="M59" s="369"/>
      <c r="N59" s="369">
        <f t="shared" ref="N59:S59" si="8">N6+N7+N8+N9+N10+N11+N12+N35+N58</f>
        <v>-3586918.4539999999</v>
      </c>
      <c r="O59" s="369">
        <f t="shared" si="8"/>
        <v>18979508</v>
      </c>
      <c r="P59" s="369">
        <f t="shared" si="8"/>
        <v>17600000</v>
      </c>
      <c r="Q59" s="369">
        <f t="shared" si="8"/>
        <v>22606602.167763758</v>
      </c>
      <c r="R59" s="369">
        <f t="shared" si="8"/>
        <v>51812276</v>
      </c>
      <c r="S59" s="369">
        <f t="shared" si="8"/>
        <v>1902363</v>
      </c>
      <c r="T59" s="369">
        <f>T6+T7+T8+T9+T10+T11+T12+T35+T58</f>
        <v>43860000</v>
      </c>
      <c r="U59" s="370"/>
      <c r="V59" s="369">
        <f>V6+V7+V8+V9+V10+V11+V12+V35+V58</f>
        <v>156760749.16776377</v>
      </c>
      <c r="W59" s="637"/>
      <c r="X59" s="781">
        <f>SUM(X6:X12)+X35+X58</f>
        <v>574133379.23672247</v>
      </c>
      <c r="Y59" s="174"/>
      <c r="Z59" s="161"/>
      <c r="AA59" s="161"/>
      <c r="AB59" s="161"/>
    </row>
    <row r="60" spans="1:29" ht="16.5" thickTop="1">
      <c r="A60" s="172"/>
      <c r="B60" s="172"/>
      <c r="C60" s="172"/>
      <c r="D60" s="172"/>
      <c r="E60" s="172"/>
      <c r="F60" s="172"/>
      <c r="G60" s="172"/>
      <c r="H60" s="172"/>
      <c r="I60" s="172"/>
      <c r="J60" s="172"/>
      <c r="K60" s="172"/>
      <c r="L60" s="166"/>
      <c r="M60" s="166"/>
      <c r="N60" s="50"/>
      <c r="O60" s="50"/>
      <c r="P60" s="50"/>
      <c r="Q60" s="50"/>
      <c r="R60" s="163">
        <f>R59-R29</f>
        <v>30590000</v>
      </c>
      <c r="S60" s="50"/>
      <c r="T60" s="167"/>
      <c r="U60" s="167"/>
      <c r="V60" s="165">
        <f>SUM(B59:T59)</f>
        <v>156760749.16776377</v>
      </c>
      <c r="W60" s="162"/>
      <c r="Y60" s="179"/>
      <c r="Z60" s="161"/>
      <c r="AA60" s="161"/>
      <c r="AB60" s="161"/>
    </row>
    <row r="61" spans="1:29">
      <c r="A61" s="161"/>
      <c r="B61" s="161"/>
      <c r="C61" s="161"/>
      <c r="D61" s="161"/>
      <c r="E61" s="163"/>
      <c r="F61" s="161"/>
      <c r="G61" s="161"/>
      <c r="H61" s="161"/>
      <c r="I61" s="161"/>
      <c r="J61" s="163"/>
      <c r="K61" s="161"/>
      <c r="L61" s="163"/>
      <c r="M61" s="163"/>
      <c r="N61" s="163"/>
      <c r="O61" s="163"/>
      <c r="P61" s="163"/>
      <c r="Q61" s="163"/>
      <c r="R61" s="163"/>
      <c r="S61" s="163"/>
      <c r="T61" s="163"/>
      <c r="U61" s="161"/>
      <c r="V61" s="163"/>
      <c r="W61" s="161"/>
      <c r="X61" s="163"/>
      <c r="Y61" s="179"/>
      <c r="Z61" s="161"/>
      <c r="AA61" s="161"/>
      <c r="AB61" s="161"/>
    </row>
    <row r="62" spans="1:29">
      <c r="A62" s="161"/>
      <c r="B62" s="161"/>
      <c r="C62" s="161"/>
      <c r="D62" s="161"/>
      <c r="E62" s="161"/>
      <c r="F62" s="161"/>
      <c r="G62" s="161"/>
      <c r="H62" s="161"/>
      <c r="I62" s="161"/>
      <c r="J62" s="161"/>
      <c r="K62" s="161"/>
      <c r="L62" s="163"/>
      <c r="M62" s="161"/>
      <c r="N62" s="161"/>
      <c r="O62" s="161"/>
      <c r="P62" s="161"/>
      <c r="Q62" s="161"/>
      <c r="R62" s="163"/>
      <c r="S62" s="161"/>
      <c r="T62" s="163"/>
      <c r="U62" s="161"/>
      <c r="V62" s="163"/>
      <c r="W62" s="161"/>
      <c r="X62" s="161"/>
      <c r="Y62" s="161"/>
      <c r="Z62" s="161"/>
      <c r="AA62" s="161"/>
      <c r="AB62" s="161"/>
    </row>
    <row r="63" spans="1:29">
      <c r="A63" s="161"/>
      <c r="B63" s="161"/>
      <c r="C63" s="161"/>
      <c r="D63" s="161"/>
      <c r="E63" s="161"/>
      <c r="F63" s="161"/>
      <c r="G63" s="161"/>
      <c r="H63" s="161"/>
      <c r="I63" s="161"/>
      <c r="J63" s="161"/>
      <c r="K63" s="161"/>
      <c r="L63" s="179"/>
      <c r="M63" s="161"/>
      <c r="N63" s="161"/>
      <c r="O63" s="161"/>
      <c r="P63" s="161"/>
      <c r="Q63" s="161"/>
      <c r="R63" s="163"/>
      <c r="S63" s="163"/>
      <c r="T63" s="163"/>
      <c r="U63" s="161"/>
      <c r="V63" s="1252"/>
      <c r="W63" s="161"/>
      <c r="X63" s="161"/>
      <c r="Y63" s="161"/>
      <c r="Z63" s="161"/>
      <c r="AA63" s="161"/>
      <c r="AB63" s="161"/>
    </row>
    <row r="64" spans="1:29">
      <c r="A64" s="161"/>
      <c r="B64" s="161"/>
      <c r="C64" s="161"/>
      <c r="D64" s="161"/>
      <c r="E64" s="161"/>
      <c r="F64" s="161"/>
      <c r="G64" s="161"/>
      <c r="H64" s="161"/>
      <c r="I64" s="161"/>
      <c r="J64" s="161"/>
      <c r="K64" s="161"/>
      <c r="L64" s="161"/>
      <c r="M64" s="161"/>
      <c r="N64" s="161"/>
      <c r="O64" s="161"/>
      <c r="P64" s="161"/>
      <c r="Q64" s="161"/>
      <c r="R64" s="161"/>
      <c r="S64" s="163"/>
      <c r="T64" s="163"/>
      <c r="U64" s="161"/>
      <c r="V64" s="161"/>
      <c r="W64" s="161"/>
      <c r="X64" s="161"/>
      <c r="Y64" s="161"/>
      <c r="Z64" s="161"/>
      <c r="AA64" s="161"/>
      <c r="AB64" s="161"/>
    </row>
    <row r="65" spans="1:28">
      <c r="A65" s="161"/>
      <c r="B65" s="161"/>
      <c r="C65" s="161"/>
      <c r="D65" s="161"/>
      <c r="E65" s="161"/>
      <c r="F65" s="161"/>
      <c r="G65" s="161"/>
      <c r="H65" s="161"/>
      <c r="I65" s="161"/>
      <c r="J65" s="161"/>
      <c r="K65" s="161"/>
      <c r="L65" s="161"/>
      <c r="M65" s="161"/>
      <c r="N65" s="161"/>
      <c r="O65" s="161"/>
      <c r="P65" s="161"/>
      <c r="Q65" s="161"/>
      <c r="R65" s="161"/>
      <c r="S65" s="161"/>
      <c r="T65" s="179"/>
      <c r="U65" s="161"/>
      <c r="V65" s="161"/>
      <c r="W65" s="161"/>
      <c r="X65" s="161"/>
      <c r="Y65" s="161"/>
      <c r="Z65" s="161"/>
      <c r="AA65" s="161"/>
      <c r="AB65" s="161"/>
    </row>
    <row r="66" spans="1:28">
      <c r="A66" s="161"/>
      <c r="B66" s="161"/>
      <c r="C66" s="161"/>
      <c r="D66" s="161"/>
      <c r="E66" s="161"/>
      <c r="F66" s="161"/>
      <c r="G66" s="161"/>
      <c r="H66" s="161"/>
      <c r="I66" s="161"/>
      <c r="J66" s="161"/>
      <c r="K66" s="161"/>
      <c r="L66" s="161"/>
      <c r="M66" s="161"/>
      <c r="N66" s="161"/>
      <c r="O66" s="161"/>
      <c r="P66" s="161"/>
      <c r="Q66" s="161"/>
      <c r="R66" s="161"/>
      <c r="S66" s="1282"/>
      <c r="T66" s="163"/>
      <c r="U66" s="161"/>
      <c r="V66" s="161"/>
      <c r="W66" s="161"/>
      <c r="X66" s="161"/>
      <c r="Y66" s="161"/>
    </row>
    <row r="67" spans="1:28">
      <c r="O67" s="315"/>
      <c r="P67" s="315"/>
      <c r="Q67" s="315"/>
    </row>
    <row r="68" spans="1:28">
      <c r="O68" s="315"/>
      <c r="P68" s="315"/>
      <c r="Q68" s="315"/>
      <c r="T68" s="1027"/>
    </row>
    <row r="69" spans="1:28">
      <c r="O69" s="148"/>
      <c r="P69" s="148"/>
      <c r="Q69" s="315"/>
    </row>
    <row r="70" spans="1:28">
      <c r="O70" s="148"/>
      <c r="P70" s="148"/>
      <c r="Q70" s="148"/>
    </row>
    <row r="71" spans="1:28">
      <c r="R71" s="12"/>
    </row>
  </sheetData>
  <mergeCells count="3">
    <mergeCell ref="B4:E4"/>
    <mergeCell ref="G4:J4"/>
    <mergeCell ref="N4:T4"/>
  </mergeCells>
  <pageMargins left="0.75" right="0.75" top="1" bottom="1" header="0.5" footer="0.5"/>
  <pageSetup orientation="portrait" horizontalDpi="4294967292" verticalDpi="4294967292" r:id="rId1"/>
  <ignoredErrors>
    <ignoredError sqref="N23"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40"/>
  <sheetViews>
    <sheetView zoomScale="120" zoomScaleNormal="120" zoomScalePageLayoutView="120" workbookViewId="0">
      <selection activeCell="H7" sqref="H7"/>
    </sheetView>
  </sheetViews>
  <sheetFormatPr defaultColWidth="11" defaultRowHeight="15.75"/>
  <cols>
    <col min="1" max="1" width="49.875" customWidth="1"/>
    <col min="2" max="2" width="14" customWidth="1"/>
    <col min="3" max="3" width="17.875" customWidth="1"/>
    <col min="4" max="4" width="14.625" customWidth="1"/>
    <col min="5" max="5" width="13.75" bestFit="1" customWidth="1"/>
    <col min="7" max="7" width="43.5" customWidth="1"/>
    <col min="8" max="8" width="13.5" bestFit="1" customWidth="1"/>
    <col min="9" max="9" width="13.375" customWidth="1"/>
  </cols>
  <sheetData>
    <row r="1" spans="1:9">
      <c r="A1" s="169" t="s">
        <v>61</v>
      </c>
    </row>
    <row r="2" spans="1:9" ht="16.5" thickBot="1">
      <c r="A2" s="169" t="s">
        <v>1599</v>
      </c>
    </row>
    <row r="3" spans="1:9">
      <c r="A3" s="263"/>
      <c r="B3" s="390"/>
      <c r="C3" s="390"/>
      <c r="D3" s="391"/>
      <c r="E3" s="185">
        <f>439093663-D7</f>
        <v>7200000</v>
      </c>
      <c r="G3" s="886" t="s">
        <v>1292</v>
      </c>
      <c r="H3" s="391"/>
      <c r="I3" s="391"/>
    </row>
    <row r="4" spans="1:9">
      <c r="A4" s="265"/>
      <c r="B4" s="57"/>
      <c r="C4" s="57"/>
      <c r="D4" s="392"/>
      <c r="E4" s="185"/>
      <c r="G4" s="265"/>
      <c r="H4" s="1622" t="s">
        <v>1588</v>
      </c>
      <c r="I4" s="1623" t="s">
        <v>1569</v>
      </c>
    </row>
    <row r="5" spans="1:9" ht="32.1" customHeight="1">
      <c r="A5" s="1943" t="s">
        <v>1725</v>
      </c>
      <c r="B5" s="1944"/>
      <c r="C5" s="1944"/>
      <c r="D5" s="1945"/>
      <c r="G5" s="1310" t="s">
        <v>1293</v>
      </c>
      <c r="H5" s="1761">
        <f>SUM(H6:H8)</f>
        <v>9884759</v>
      </c>
      <c r="I5" s="1761">
        <v>9357244</v>
      </c>
    </row>
    <row r="6" spans="1:9" ht="18">
      <c r="A6" s="393"/>
      <c r="B6" s="208"/>
      <c r="C6" s="1622" t="s">
        <v>1588</v>
      </c>
      <c r="D6" s="1623" t="s">
        <v>1569</v>
      </c>
      <c r="E6" s="1621" t="s">
        <v>1568</v>
      </c>
      <c r="G6" s="1758" t="s">
        <v>65</v>
      </c>
      <c r="H6" s="1311">
        <f>8800843</f>
        <v>8800843</v>
      </c>
      <c r="I6" s="1761"/>
    </row>
    <row r="7" spans="1:9" ht="18">
      <c r="A7" s="393" t="s">
        <v>1290</v>
      </c>
      <c r="B7" s="208"/>
      <c r="C7" s="394">
        <f>'Step 1 Dedicated Funds'!X3</f>
        <v>440655477.40850514</v>
      </c>
      <c r="D7" s="1626">
        <v>431893663</v>
      </c>
      <c r="E7" s="1625">
        <f>C7/D7</f>
        <v>1.0202869714448788</v>
      </c>
      <c r="G7" s="1758" t="s">
        <v>66</v>
      </c>
      <c r="H7" s="1311">
        <v>1083916</v>
      </c>
      <c r="I7" s="1761"/>
    </row>
    <row r="8" spans="1:9" ht="18">
      <c r="A8" s="393"/>
      <c r="B8" s="208"/>
      <c r="C8" s="394"/>
      <c r="D8" s="1626"/>
      <c r="G8" s="1758" t="s">
        <v>1721</v>
      </c>
      <c r="H8" s="1311">
        <v>0</v>
      </c>
      <c r="I8" s="1761">
        <v>1525000</v>
      </c>
    </row>
    <row r="9" spans="1:9" ht="18">
      <c r="A9" s="393" t="s">
        <v>1291</v>
      </c>
      <c r="B9" s="1036">
        <v>0.59</v>
      </c>
      <c r="C9" s="394">
        <f>B9*C7</f>
        <v>259986731.67101803</v>
      </c>
      <c r="D9" s="1626">
        <v>254817261</v>
      </c>
      <c r="E9" s="1625">
        <f>C9/D9</f>
        <v>1.0202869721255581</v>
      </c>
      <c r="G9" s="1310" t="s">
        <v>412</v>
      </c>
      <c r="H9" s="1761">
        <v>0</v>
      </c>
      <c r="I9" s="1761">
        <v>0</v>
      </c>
    </row>
    <row r="10" spans="1:9" ht="18">
      <c r="A10" s="1257" t="s">
        <v>1609</v>
      </c>
      <c r="B10" s="1258"/>
      <c r="C10" s="394">
        <f>H12</f>
        <v>17319704</v>
      </c>
      <c r="D10" s="1626">
        <v>18025463</v>
      </c>
      <c r="E10" s="1625">
        <f>C10/D10</f>
        <v>0.96084655356702908</v>
      </c>
      <c r="G10" s="1310" t="s">
        <v>1337</v>
      </c>
      <c r="H10" s="1761">
        <v>7004945</v>
      </c>
      <c r="I10" s="1761">
        <v>6546678</v>
      </c>
    </row>
    <row r="11" spans="1:9">
      <c r="A11" s="1257" t="s">
        <v>1297</v>
      </c>
      <c r="B11" s="1258"/>
      <c r="C11" s="394">
        <v>22100000</v>
      </c>
      <c r="D11" s="1626">
        <v>21776904</v>
      </c>
      <c r="E11" s="1625">
        <f>C11/D11</f>
        <v>1.0148366360985015</v>
      </c>
      <c r="G11" s="595" t="s">
        <v>882</v>
      </c>
      <c r="H11" s="1762">
        <v>430000</v>
      </c>
      <c r="I11" s="1762">
        <v>750000</v>
      </c>
    </row>
    <row r="12" spans="1:9" ht="18" thickBot="1">
      <c r="A12" s="1257" t="s">
        <v>1294</v>
      </c>
      <c r="B12" s="1258"/>
      <c r="C12" s="1260">
        <f>C9-C10-C11</f>
        <v>220567027.67101803</v>
      </c>
      <c r="D12" s="1655">
        <f>D9-D10-D11</f>
        <v>215014894</v>
      </c>
      <c r="E12" s="1625">
        <f>C12/D12</f>
        <v>1.0258220887294349</v>
      </c>
      <c r="G12" s="1313" t="s">
        <v>13</v>
      </c>
      <c r="H12" s="1314">
        <f>SUM(H5,H9,H10,H11)</f>
        <v>17319704</v>
      </c>
      <c r="I12" s="1314">
        <f>SUM(I5:I11)</f>
        <v>18178922</v>
      </c>
    </row>
    <row r="13" spans="1:9" ht="16.5" thickBot="1">
      <c r="A13" s="393"/>
      <c r="B13" s="1258"/>
      <c r="C13" s="394"/>
      <c r="D13" s="1626"/>
    </row>
    <row r="14" spans="1:9" ht="18" thickBot="1">
      <c r="A14" s="393"/>
      <c r="B14" s="1258"/>
      <c r="C14" s="394"/>
      <c r="D14" s="1626"/>
      <c r="G14" s="1315" t="s">
        <v>1295</v>
      </c>
      <c r="H14" s="1316">
        <v>21481824</v>
      </c>
      <c r="I14" s="1316">
        <v>21481824</v>
      </c>
    </row>
    <row r="15" spans="1:9">
      <c r="A15" s="393"/>
      <c r="B15" s="1258"/>
      <c r="C15" s="394"/>
      <c r="D15" s="1626"/>
      <c r="H15" s="1625">
        <f>H14/'Step 1 Dedicated Funds'!X2</f>
        <v>3.5957885046260171E-2</v>
      </c>
    </row>
    <row r="16" spans="1:9">
      <c r="A16" s="393"/>
      <c r="B16" s="1258"/>
      <c r="C16" s="394"/>
      <c r="D16" s="1626"/>
    </row>
    <row r="17" spans="1:9" ht="16.5" thickBot="1">
      <c r="A17" s="393"/>
      <c r="B17" s="1037"/>
      <c r="C17" s="394"/>
      <c r="D17" s="1626"/>
    </row>
    <row r="18" spans="1:9" ht="47.25">
      <c r="A18" s="1256" t="s">
        <v>1366</v>
      </c>
      <c r="B18" s="1037">
        <f>1-B9</f>
        <v>0.41000000000000003</v>
      </c>
      <c r="C18" s="394">
        <f>B18*C7</f>
        <v>180668745.73748711</v>
      </c>
      <c r="D18" s="1626">
        <v>177076402</v>
      </c>
      <c r="E18" s="1625">
        <f>C18/D18</f>
        <v>1.020286970465365</v>
      </c>
      <c r="G18" s="886" t="s">
        <v>1338</v>
      </c>
      <c r="H18" s="1627" t="s">
        <v>1588</v>
      </c>
      <c r="I18" s="1623" t="s">
        <v>1569</v>
      </c>
    </row>
    <row r="19" spans="1:9" ht="17.25">
      <c r="A19" s="1651" t="s">
        <v>473</v>
      </c>
      <c r="B19" s="1037"/>
      <c r="C19" s="394">
        <f>H23</f>
        <v>26139223</v>
      </c>
      <c r="D19" s="1626">
        <f>I23</f>
        <v>26139223</v>
      </c>
      <c r="E19" s="1625">
        <f t="shared" ref="E19:E24" si="0">C19/D19</f>
        <v>1</v>
      </c>
      <c r="G19" s="1310" t="s">
        <v>1339</v>
      </c>
      <c r="H19" s="1311">
        <v>3161000</v>
      </c>
      <c r="I19" s="1311">
        <v>3161000</v>
      </c>
    </row>
    <row r="20" spans="1:9" ht="17.25">
      <c r="A20" s="1651" t="s">
        <v>1344</v>
      </c>
      <c r="B20" s="1037"/>
      <c r="C20" s="394">
        <f>H24</f>
        <v>11087220</v>
      </c>
      <c r="D20" s="1626">
        <f>I24</f>
        <v>11087220</v>
      </c>
      <c r="E20" s="1625">
        <f t="shared" si="0"/>
        <v>1</v>
      </c>
      <c r="G20" s="1310" t="s">
        <v>1342</v>
      </c>
      <c r="H20" s="1311">
        <v>3111300</v>
      </c>
      <c r="I20" s="1311">
        <v>3111300</v>
      </c>
    </row>
    <row r="21" spans="1:9" ht="17.25">
      <c r="A21" s="1651" t="s">
        <v>1607</v>
      </c>
      <c r="B21" s="1037"/>
      <c r="C21" s="394">
        <f>SUM(H21,H20,H19)</f>
        <v>17835920</v>
      </c>
      <c r="D21" s="1626">
        <f>I21+I20+I19</f>
        <v>17835920</v>
      </c>
      <c r="E21" s="1625">
        <f t="shared" si="0"/>
        <v>1</v>
      </c>
      <c r="G21" s="1310" t="s">
        <v>1343</v>
      </c>
      <c r="H21" s="1311">
        <v>11563620</v>
      </c>
      <c r="I21" s="1311">
        <v>11563620</v>
      </c>
    </row>
    <row r="22" spans="1:9" ht="17.25">
      <c r="A22" s="1651" t="s">
        <v>1608</v>
      </c>
      <c r="B22" s="1037"/>
      <c r="C22" s="394">
        <f>H22</f>
        <v>4150000</v>
      </c>
      <c r="D22" s="1626">
        <f>I22</f>
        <v>4150000</v>
      </c>
      <c r="E22" s="1625">
        <f t="shared" si="0"/>
        <v>1</v>
      </c>
      <c r="G22" s="1310" t="s">
        <v>1340</v>
      </c>
      <c r="H22" s="1311">
        <v>4150000</v>
      </c>
      <c r="I22" s="1311">
        <v>4150000</v>
      </c>
    </row>
    <row r="23" spans="1:9" ht="17.25">
      <c r="A23" s="1652" t="s">
        <v>336</v>
      </c>
      <c r="B23" s="57"/>
      <c r="C23" s="394">
        <f>'Step 5 Exec and Strategic'!C40</f>
        <v>7750000</v>
      </c>
      <c r="D23" s="1626">
        <v>7181177</v>
      </c>
      <c r="E23" s="1625">
        <f t="shared" si="0"/>
        <v>1.0792102743046161</v>
      </c>
      <c r="G23" s="1310" t="s">
        <v>473</v>
      </c>
      <c r="H23" s="1311">
        <v>26139223</v>
      </c>
      <c r="I23" s="1311">
        <v>26139223</v>
      </c>
    </row>
    <row r="24" spans="1:9" ht="17.25">
      <c r="A24" s="1651" t="s">
        <v>1341</v>
      </c>
      <c r="B24" s="1037"/>
      <c r="C24" s="394">
        <f>C18-SUM(C19:C23)</f>
        <v>113706382.73748711</v>
      </c>
      <c r="D24" s="1626">
        <f>D18-SUM(D19:D23)</f>
        <v>110682862</v>
      </c>
      <c r="E24" s="1625">
        <f t="shared" si="0"/>
        <v>1.0273169728614997</v>
      </c>
      <c r="G24" s="1310" t="s">
        <v>1344</v>
      </c>
      <c r="H24" s="1311">
        <f>12690885-1603665</f>
        <v>11087220</v>
      </c>
      <c r="I24" s="1311">
        <f>12690885-1603665</f>
        <v>11087220</v>
      </c>
    </row>
    <row r="25" spans="1:9" ht="17.25">
      <c r="A25" s="265"/>
      <c r="B25" s="57"/>
      <c r="C25" s="57"/>
      <c r="D25" s="392"/>
      <c r="G25" s="1310" t="s">
        <v>1341</v>
      </c>
      <c r="H25" s="1320">
        <f>C18-SUM(H19:H24)</f>
        <v>121456382.73748711</v>
      </c>
      <c r="I25" s="1320">
        <f>D18-SUM(I19:I24)</f>
        <v>117864039</v>
      </c>
    </row>
    <row r="26" spans="1:9" ht="18" thickBot="1">
      <c r="A26" s="393" t="s">
        <v>11</v>
      </c>
      <c r="B26" s="208"/>
      <c r="C26" s="1259">
        <f>SUM(C10:C18)</f>
        <v>440655477.40850514</v>
      </c>
      <c r="D26" s="1656">
        <f>SUM(D10:D18)</f>
        <v>431893663</v>
      </c>
      <c r="E26" s="1625">
        <f>C26/D26</f>
        <v>1.0202869714448788</v>
      </c>
      <c r="G26" s="1313" t="s">
        <v>13</v>
      </c>
      <c r="H26" s="1314">
        <f>SUM(H19:H25)</f>
        <v>180668745.73748711</v>
      </c>
      <c r="I26" s="1314">
        <f>SUM(I19:I25)</f>
        <v>177076402</v>
      </c>
    </row>
    <row r="27" spans="1:9">
      <c r="A27" s="265"/>
      <c r="B27" s="57"/>
      <c r="C27" s="57"/>
      <c r="D27" s="392"/>
    </row>
    <row r="28" spans="1:9" ht="18" thickBot="1">
      <c r="A28" s="395"/>
      <c r="B28" s="396"/>
      <c r="C28" s="396"/>
      <c r="D28" s="397"/>
      <c r="G28" s="1624" t="s">
        <v>1567</v>
      </c>
    </row>
    <row r="30" spans="1:9">
      <c r="E30" s="185">
        <f>SUM(D19:D24)</f>
        <v>177076402</v>
      </c>
    </row>
    <row r="31" spans="1:9">
      <c r="A31" s="10"/>
      <c r="C31" s="213"/>
      <c r="E31" s="983"/>
    </row>
    <row r="32" spans="1:9">
      <c r="A32" s="10" t="s">
        <v>1363</v>
      </c>
      <c r="C32" s="185"/>
    </row>
    <row r="33" spans="1:3">
      <c r="A33" s="393" t="s">
        <v>1364</v>
      </c>
      <c r="C33" s="185"/>
    </row>
    <row r="34" spans="1:3">
      <c r="A34" s="393" t="s">
        <v>1365</v>
      </c>
    </row>
    <row r="35" spans="1:3">
      <c r="A35" s="393" t="s">
        <v>1382</v>
      </c>
      <c r="C35" s="394"/>
    </row>
    <row r="36" spans="1:3">
      <c r="A36" s="1018" t="s">
        <v>1383</v>
      </c>
      <c r="C36" s="185"/>
    </row>
    <row r="38" spans="1:3">
      <c r="C38" s="185"/>
    </row>
    <row r="39" spans="1:3">
      <c r="C39" s="174"/>
    </row>
    <row r="40" spans="1:3">
      <c r="C40" s="174"/>
    </row>
  </sheetData>
  <mergeCells count="1">
    <mergeCell ref="A5:D5"/>
  </mergeCells>
  <phoneticPr fontId="52" type="noConversion"/>
  <pageMargins left="0.75" right="0.75" top="1" bottom="1" header="0.5" footer="0.5"/>
  <pageSetup scale="42"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vt:i4>
      </vt:variant>
    </vt:vector>
  </HeadingPairs>
  <TitlesOfParts>
    <vt:vector size="50" baseType="lpstr">
      <vt:lpstr>Dashboard-Academic Allocation</vt:lpstr>
      <vt:lpstr>Change Log</vt:lpstr>
      <vt:lpstr>Service and Support Allocation</vt:lpstr>
      <vt:lpstr>Distribution Pools</vt:lpstr>
      <vt:lpstr>Allocation by Category</vt:lpstr>
      <vt:lpstr>Pools, Rates, Reference</vt:lpstr>
      <vt:lpstr>Step 0 FY20 Revenue</vt:lpstr>
      <vt:lpstr>Step 1 Dedicated Funds</vt:lpstr>
      <vt:lpstr>Step 2 Productivity Split</vt:lpstr>
      <vt:lpstr>Step 3 Acad Product &amp; Pools</vt:lpstr>
      <vt:lpstr>Step 4a IM Summary</vt:lpstr>
      <vt:lpstr>Step 4 Contract and Reserves</vt:lpstr>
      <vt:lpstr>Step 5 Exec and Strategic</vt:lpstr>
      <vt:lpstr>Step 6a Service-Support Detail</vt:lpstr>
      <vt:lpstr>Step 6 Service-Support</vt:lpstr>
      <vt:lpstr>Step 7 Final Adjustments</vt:lpstr>
      <vt:lpstr>FY18 to FY20 Changes</vt:lpstr>
      <vt:lpstr>Compile Productivity $</vt:lpstr>
      <vt:lpstr>Foundation SCH</vt:lpstr>
      <vt:lpstr>Honors College Incentive</vt:lpstr>
      <vt:lpstr>Undergrad Completions</vt:lpstr>
      <vt:lpstr>Graduate Completions</vt:lpstr>
      <vt:lpstr>Interdisciplinary Graduate</vt:lpstr>
      <vt:lpstr>Ecampus </vt:lpstr>
      <vt:lpstr>Summer</vt:lpstr>
      <vt:lpstr>Strategic Populations</vt:lpstr>
      <vt:lpstr>Cascades Incentive</vt:lpstr>
      <vt:lpstr>Grant Data</vt:lpstr>
      <vt:lpstr>Degree data</vt:lpstr>
      <vt:lpstr>SCH data and adjusts</vt:lpstr>
      <vt:lpstr>Weights</vt:lpstr>
      <vt:lpstr>Pharmacy Vet Med</vt:lpstr>
      <vt:lpstr>Vet Med Target Budget</vt:lpstr>
      <vt:lpstr>FY19 Floor Calculations</vt:lpstr>
      <vt:lpstr>Community Support Funds</vt:lpstr>
      <vt:lpstr>Differential Tuition Allocation</vt:lpstr>
      <vt:lpstr>Differential Tuition History</vt:lpstr>
      <vt:lpstr>F&amp;A Recovery</vt:lpstr>
      <vt:lpstr>FY19 SSCM Allocation</vt:lpstr>
      <vt:lpstr>What If Tool</vt:lpstr>
      <vt:lpstr>What If Data</vt:lpstr>
      <vt:lpstr>Overhead Assessment</vt:lpstr>
      <vt:lpstr>OSU Strategic Fund Detail</vt:lpstr>
      <vt:lpstr>State Targeted Funding</vt:lpstr>
      <vt:lpstr>Buildings</vt:lpstr>
      <vt:lpstr>Space Assigned</vt:lpstr>
      <vt:lpstr>'Dashboard-Academic Allocation'!Print_Area</vt:lpstr>
      <vt:lpstr>'FY18 to FY20 Changes'!Print_Area</vt:lpstr>
      <vt:lpstr>'Step 4a IM Summary'!Print_Area</vt:lpstr>
      <vt:lpstr>'Step 7 Final Adjustments'!Print_Area</vt:lpstr>
    </vt:vector>
  </TitlesOfParts>
  <Company>KPKV3-V9R8X-QMTGH-YXTCG-8P6HM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COSINe SHB</dc:creator>
  <cp:lastModifiedBy>Real, Nicole</cp:lastModifiedBy>
  <cp:lastPrinted>2019-06-27T22:31:14Z</cp:lastPrinted>
  <dcterms:created xsi:type="dcterms:W3CDTF">2014-08-14T19:38:10Z</dcterms:created>
  <dcterms:modified xsi:type="dcterms:W3CDTF">2019-07-08T21:22:10Z</dcterms:modified>
</cp:coreProperties>
</file>