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olewik\Box Sync\SBAC\2017-2018 SBAC\Budget Training-SB\"/>
    </mc:Choice>
  </mc:AlternateContent>
  <bookViews>
    <workbookView xWindow="-32520" yWindow="-180" windowWidth="27000" windowHeight="19755" tabRatio="500" firstSheet="2" activeTab="5"/>
  </bookViews>
  <sheets>
    <sheet name="Notes on the Tool" sheetId="7" r:id="rId1"/>
    <sheet name="Expense Revenue Model" sheetId="4" r:id="rId2"/>
    <sheet name="Inflation" sheetId="2" r:id="rId3"/>
    <sheet name="Local Inflation" sheetId="3" r:id="rId4"/>
    <sheet name="State History" sheetId="5" r:id="rId5"/>
    <sheet name="Tuition Projection" sheetId="1" r:id="rId6"/>
    <sheet name="Marginal Cost w Growth" sheetId="6" r:id="rId7"/>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7" i="6" l="1"/>
  <c r="C14" i="6"/>
  <c r="C21" i="6"/>
  <c r="C22" i="6"/>
  <c r="C25" i="6"/>
  <c r="D14" i="6"/>
  <c r="D21" i="6"/>
  <c r="D22" i="6"/>
  <c r="D25" i="6"/>
  <c r="D27" i="6"/>
  <c r="C26" i="6"/>
  <c r="C27" i="6"/>
  <c r="C28" i="6"/>
  <c r="F10" i="5"/>
  <c r="F9" i="5"/>
  <c r="F8" i="5"/>
  <c r="F7" i="5"/>
  <c r="F6" i="5"/>
  <c r="F5" i="5"/>
  <c r="D21" i="5"/>
  <c r="E15" i="5"/>
  <c r="E14" i="5"/>
  <c r="E13" i="5"/>
  <c r="E12" i="5"/>
  <c r="E11" i="5"/>
  <c r="E10" i="5"/>
  <c r="E9" i="5"/>
  <c r="E8" i="5"/>
  <c r="E7" i="5"/>
  <c r="E6" i="5"/>
  <c r="E5" i="5"/>
  <c r="K24" i="6"/>
  <c r="U22" i="2"/>
  <c r="U21" i="2"/>
  <c r="U20" i="2"/>
  <c r="U19" i="2"/>
  <c r="U18" i="2"/>
  <c r="U17" i="2"/>
  <c r="U16" i="2"/>
  <c r="U15" i="2"/>
  <c r="U14" i="2"/>
  <c r="U13" i="2"/>
  <c r="U12" i="2"/>
  <c r="U11" i="2"/>
  <c r="U10" i="2"/>
  <c r="U9" i="2"/>
  <c r="U8" i="2"/>
  <c r="U7" i="2"/>
  <c r="U6" i="2"/>
  <c r="U23" i="2"/>
  <c r="E24" i="6"/>
  <c r="O56" i="4"/>
  <c r="N56" i="4"/>
  <c r="M56" i="4"/>
  <c r="L56" i="4"/>
  <c r="K56" i="4"/>
  <c r="J56" i="4"/>
  <c r="I56" i="4"/>
  <c r="H56" i="4"/>
  <c r="G56" i="4"/>
  <c r="F56" i="4"/>
  <c r="E56" i="4"/>
  <c r="D56" i="4"/>
  <c r="O55" i="4"/>
  <c r="N55" i="4"/>
  <c r="M55" i="4"/>
  <c r="L55" i="4"/>
  <c r="K55" i="4"/>
  <c r="J55" i="4"/>
  <c r="I55" i="4"/>
  <c r="H55" i="4"/>
  <c r="G55" i="4"/>
  <c r="F55" i="4"/>
  <c r="E55" i="4"/>
  <c r="D55" i="4"/>
  <c r="O54" i="4"/>
  <c r="N54" i="4"/>
  <c r="M54" i="4"/>
  <c r="L54" i="4"/>
  <c r="K54" i="4"/>
  <c r="J54" i="4"/>
  <c r="I54" i="4"/>
  <c r="H54" i="4"/>
  <c r="G54" i="4"/>
  <c r="F54" i="4"/>
  <c r="E54" i="4"/>
  <c r="D54" i="4"/>
  <c r="O53" i="4"/>
  <c r="N53" i="4"/>
  <c r="M53" i="4"/>
  <c r="L53" i="4"/>
  <c r="K53" i="4"/>
  <c r="J53" i="4"/>
  <c r="I53" i="4"/>
  <c r="H53" i="4"/>
  <c r="G53" i="4"/>
  <c r="F53" i="4"/>
  <c r="E53" i="4"/>
  <c r="D53" i="4"/>
  <c r="O52" i="4"/>
  <c r="N52" i="4"/>
  <c r="M52" i="4"/>
  <c r="L52" i="4"/>
  <c r="K52" i="4"/>
  <c r="J52" i="4"/>
  <c r="I52" i="4"/>
  <c r="H52" i="4"/>
  <c r="G52" i="4"/>
  <c r="F52" i="4"/>
  <c r="E52" i="4"/>
  <c r="D52" i="4"/>
  <c r="O51" i="4"/>
  <c r="N51" i="4"/>
  <c r="M51" i="4"/>
  <c r="L51" i="4"/>
  <c r="K51" i="4"/>
  <c r="J51" i="4"/>
  <c r="I51" i="4"/>
  <c r="H51" i="4"/>
  <c r="G51" i="4"/>
  <c r="F51" i="4"/>
  <c r="E51" i="4"/>
  <c r="D51" i="4"/>
  <c r="O50" i="4"/>
  <c r="N50" i="4"/>
  <c r="M50" i="4"/>
  <c r="L50" i="4"/>
  <c r="K50" i="4"/>
  <c r="J50" i="4"/>
  <c r="I50" i="4"/>
  <c r="H50" i="4"/>
  <c r="G50" i="4"/>
  <c r="F50" i="4"/>
  <c r="E50" i="4"/>
  <c r="D50" i="4"/>
  <c r="O49" i="4"/>
  <c r="N49" i="4"/>
  <c r="M49" i="4"/>
  <c r="L49" i="4"/>
  <c r="K49" i="4"/>
  <c r="J49" i="4"/>
  <c r="I49" i="4"/>
  <c r="H49" i="4"/>
  <c r="G49" i="4"/>
  <c r="F49" i="4"/>
  <c r="E49" i="4"/>
  <c r="D49" i="4"/>
  <c r="O48" i="4"/>
  <c r="N48" i="4"/>
  <c r="M48" i="4"/>
  <c r="L48" i="4"/>
  <c r="K48" i="4"/>
  <c r="J48" i="4"/>
  <c r="I48" i="4"/>
  <c r="H48" i="4"/>
  <c r="G48" i="4"/>
  <c r="F48" i="4"/>
  <c r="E48" i="4"/>
  <c r="D48" i="4"/>
  <c r="O47" i="4"/>
  <c r="N47" i="4"/>
  <c r="M47" i="4"/>
  <c r="L47" i="4"/>
  <c r="K47" i="4"/>
  <c r="J47" i="4"/>
  <c r="I47" i="4"/>
  <c r="H47" i="4"/>
  <c r="G47" i="4"/>
  <c r="F47" i="4"/>
  <c r="E47" i="4"/>
  <c r="D47" i="4"/>
  <c r="C119" i="4"/>
  <c r="C90" i="4"/>
  <c r="C97" i="4"/>
  <c r="C98" i="4"/>
  <c r="C101" i="4"/>
  <c r="C114" i="4"/>
  <c r="C93" i="4"/>
  <c r="C94" i="4"/>
  <c r="C95" i="4"/>
  <c r="C115" i="4"/>
  <c r="C116" i="4"/>
  <c r="C117" i="4"/>
  <c r="C118" i="4"/>
  <c r="C120" i="4"/>
  <c r="C127" i="4"/>
  <c r="B119" i="4"/>
  <c r="B97" i="4"/>
  <c r="B98" i="4"/>
  <c r="B101" i="4"/>
  <c r="B114" i="4"/>
  <c r="B93" i="4"/>
  <c r="B94" i="4"/>
  <c r="B95" i="4"/>
  <c r="B115" i="4"/>
  <c r="B116" i="4"/>
  <c r="B117" i="4"/>
  <c r="B118" i="4"/>
  <c r="B120" i="4"/>
  <c r="B127" i="4"/>
  <c r="C126" i="4"/>
  <c r="B126" i="4"/>
  <c r="C125" i="4"/>
  <c r="B125" i="4"/>
  <c r="C124" i="4"/>
  <c r="B124" i="4"/>
  <c r="C123" i="4"/>
  <c r="B123" i="4"/>
  <c r="C122" i="4"/>
  <c r="B122" i="4"/>
  <c r="L67" i="4"/>
  <c r="M67" i="4"/>
  <c r="N67" i="4"/>
  <c r="O67" i="4"/>
  <c r="F35" i="4"/>
  <c r="E104" i="4"/>
  <c r="F104" i="4"/>
  <c r="E93" i="4"/>
  <c r="F32" i="4"/>
  <c r="F93" i="4"/>
  <c r="E90" i="4"/>
  <c r="F30" i="4"/>
  <c r="F90" i="4"/>
  <c r="E31" i="4"/>
  <c r="E91" i="4"/>
  <c r="F31" i="4"/>
  <c r="F91" i="4"/>
  <c r="E96" i="4"/>
  <c r="F96" i="4"/>
  <c r="D97" i="4"/>
  <c r="E97" i="4"/>
  <c r="F97" i="4"/>
  <c r="D98" i="4"/>
  <c r="E98" i="4"/>
  <c r="F98" i="4"/>
  <c r="E99" i="4"/>
  <c r="F99" i="4"/>
  <c r="F103" i="4"/>
  <c r="E92" i="4"/>
  <c r="F92" i="4"/>
  <c r="E94" i="4"/>
  <c r="F94" i="4"/>
  <c r="E95" i="4"/>
  <c r="F95" i="4"/>
  <c r="E101" i="4"/>
  <c r="F33" i="4"/>
  <c r="F101" i="4"/>
  <c r="E105" i="4"/>
  <c r="F36" i="4"/>
  <c r="F105" i="4"/>
  <c r="E106" i="4"/>
  <c r="F106" i="4"/>
  <c r="E107" i="4"/>
  <c r="F107" i="4"/>
  <c r="D108" i="4"/>
  <c r="E108" i="4"/>
  <c r="F108" i="4"/>
  <c r="F109" i="4"/>
  <c r="E103" i="4"/>
  <c r="E109" i="4"/>
  <c r="E69" i="4"/>
  <c r="C78" i="4"/>
  <c r="C79" i="4"/>
  <c r="C72" i="4"/>
  <c r="D69" i="4"/>
  <c r="D72" i="4"/>
  <c r="E65" i="4"/>
  <c r="E66" i="4"/>
  <c r="E67" i="4"/>
  <c r="E68" i="4"/>
  <c r="E72" i="4"/>
  <c r="B109" i="4"/>
  <c r="B78" i="4"/>
  <c r="B79" i="4"/>
  <c r="B81" i="4"/>
  <c r="C109" i="4"/>
  <c r="C81" i="4"/>
  <c r="D109" i="4"/>
  <c r="D75" i="4"/>
  <c r="D78" i="4"/>
  <c r="D79" i="4"/>
  <c r="D81" i="4"/>
  <c r="E81" i="4"/>
  <c r="F69" i="4"/>
  <c r="F65" i="4"/>
  <c r="F66" i="4"/>
  <c r="F67" i="4"/>
  <c r="F68" i="4"/>
  <c r="F72" i="4"/>
  <c r="F81" i="4"/>
  <c r="G35" i="4"/>
  <c r="G104" i="4"/>
  <c r="G32" i="4"/>
  <c r="G93" i="4"/>
  <c r="G30" i="4"/>
  <c r="G90" i="4"/>
  <c r="G31" i="4"/>
  <c r="G91" i="4"/>
  <c r="G96" i="4"/>
  <c r="G97" i="4"/>
  <c r="G98" i="4"/>
  <c r="G99" i="4"/>
  <c r="G103" i="4"/>
  <c r="G92" i="4"/>
  <c r="G94" i="4"/>
  <c r="G95" i="4"/>
  <c r="G33" i="4"/>
  <c r="G101" i="4"/>
  <c r="G36" i="4"/>
  <c r="G105" i="4"/>
  <c r="G106" i="4"/>
  <c r="G107" i="4"/>
  <c r="G108" i="4"/>
  <c r="G109" i="4"/>
  <c r="G69" i="4"/>
  <c r="G65" i="4"/>
  <c r="G67" i="4"/>
  <c r="G68" i="4"/>
  <c r="G72" i="4"/>
  <c r="G81" i="4"/>
  <c r="H35" i="4"/>
  <c r="H104" i="4"/>
  <c r="H32" i="4"/>
  <c r="H93" i="4"/>
  <c r="H30" i="4"/>
  <c r="H90" i="4"/>
  <c r="H31" i="4"/>
  <c r="H91" i="4"/>
  <c r="H96" i="4"/>
  <c r="H97" i="4"/>
  <c r="H98" i="4"/>
  <c r="H99" i="4"/>
  <c r="H103" i="4"/>
  <c r="H92" i="4"/>
  <c r="H94" i="4"/>
  <c r="H95" i="4"/>
  <c r="H33" i="4"/>
  <c r="H101" i="4"/>
  <c r="H36" i="4"/>
  <c r="H105" i="4"/>
  <c r="H106" i="4"/>
  <c r="H107" i="4"/>
  <c r="H108" i="4"/>
  <c r="H109" i="4"/>
  <c r="H69" i="4"/>
  <c r="H65" i="4"/>
  <c r="H67" i="4"/>
  <c r="H72" i="4"/>
  <c r="H81" i="4"/>
  <c r="I35" i="4"/>
  <c r="I104" i="4"/>
  <c r="I32" i="4"/>
  <c r="I93" i="4"/>
  <c r="I30" i="4"/>
  <c r="I90" i="4"/>
  <c r="I31" i="4"/>
  <c r="I91" i="4"/>
  <c r="I96" i="4"/>
  <c r="I97" i="4"/>
  <c r="I98" i="4"/>
  <c r="I99" i="4"/>
  <c r="I103" i="4"/>
  <c r="I92" i="4"/>
  <c r="I94" i="4"/>
  <c r="I95" i="4"/>
  <c r="I33" i="4"/>
  <c r="I101" i="4"/>
  <c r="I36" i="4"/>
  <c r="I105" i="4"/>
  <c r="I106" i="4"/>
  <c r="I107" i="4"/>
  <c r="I108" i="4"/>
  <c r="I109" i="4"/>
  <c r="I69" i="4"/>
  <c r="I67" i="4"/>
  <c r="I72" i="4"/>
  <c r="I81" i="4"/>
  <c r="J35" i="4"/>
  <c r="J104" i="4"/>
  <c r="J32" i="4"/>
  <c r="J93" i="4"/>
  <c r="J30" i="4"/>
  <c r="J90" i="4"/>
  <c r="J31" i="4"/>
  <c r="J91" i="4"/>
  <c r="J96" i="4"/>
  <c r="J97" i="4"/>
  <c r="J98" i="4"/>
  <c r="J99" i="4"/>
  <c r="J103" i="4"/>
  <c r="J92" i="4"/>
  <c r="J94" i="4"/>
  <c r="J95" i="4"/>
  <c r="J33" i="4"/>
  <c r="J101" i="4"/>
  <c r="J36" i="4"/>
  <c r="J105" i="4"/>
  <c r="J106" i="4"/>
  <c r="J107" i="4"/>
  <c r="J108" i="4"/>
  <c r="J109" i="4"/>
  <c r="J69" i="4"/>
  <c r="J67" i="4"/>
  <c r="J72" i="4"/>
  <c r="J81" i="4"/>
  <c r="K35" i="4"/>
  <c r="K104" i="4"/>
  <c r="K32" i="4"/>
  <c r="K93" i="4"/>
  <c r="K30" i="4"/>
  <c r="K90" i="4"/>
  <c r="K31" i="4"/>
  <c r="K91" i="4"/>
  <c r="K96" i="4"/>
  <c r="K97" i="4"/>
  <c r="K98" i="4"/>
  <c r="K99" i="4"/>
  <c r="K103" i="4"/>
  <c r="K92" i="4"/>
  <c r="K94" i="4"/>
  <c r="K95" i="4"/>
  <c r="K33" i="4"/>
  <c r="K101" i="4"/>
  <c r="K36" i="4"/>
  <c r="K105" i="4"/>
  <c r="K106" i="4"/>
  <c r="K107" i="4"/>
  <c r="K108" i="4"/>
  <c r="K109" i="4"/>
  <c r="K69" i="4"/>
  <c r="K67" i="4"/>
  <c r="K72" i="4"/>
  <c r="K81" i="4"/>
  <c r="L35" i="4"/>
  <c r="L104" i="4"/>
  <c r="L32" i="4"/>
  <c r="L93" i="4"/>
  <c r="L30" i="4"/>
  <c r="L90" i="4"/>
  <c r="L31" i="4"/>
  <c r="L91" i="4"/>
  <c r="L96" i="4"/>
  <c r="L97" i="4"/>
  <c r="L98" i="4"/>
  <c r="L99" i="4"/>
  <c r="L103" i="4"/>
  <c r="L92" i="4"/>
  <c r="L94" i="4"/>
  <c r="L95" i="4"/>
  <c r="L33" i="4"/>
  <c r="L101" i="4"/>
  <c r="L36" i="4"/>
  <c r="L105" i="4"/>
  <c r="L106" i="4"/>
  <c r="L107" i="4"/>
  <c r="L108" i="4"/>
  <c r="L109" i="4"/>
  <c r="L69" i="4"/>
  <c r="L72" i="4"/>
  <c r="L81" i="4"/>
  <c r="M35" i="4"/>
  <c r="M104" i="4"/>
  <c r="M32" i="4"/>
  <c r="M93" i="4"/>
  <c r="M30" i="4"/>
  <c r="M90" i="4"/>
  <c r="M31" i="4"/>
  <c r="M91" i="4"/>
  <c r="M96" i="4"/>
  <c r="M97" i="4"/>
  <c r="M98" i="4"/>
  <c r="M99" i="4"/>
  <c r="M103" i="4"/>
  <c r="M92" i="4"/>
  <c r="M94" i="4"/>
  <c r="M95" i="4"/>
  <c r="M33" i="4"/>
  <c r="M101" i="4"/>
  <c r="M36" i="4"/>
  <c r="M105" i="4"/>
  <c r="M106" i="4"/>
  <c r="M107" i="4"/>
  <c r="M108" i="4"/>
  <c r="M109" i="4"/>
  <c r="M69" i="4"/>
  <c r="M72" i="4"/>
  <c r="M81" i="4"/>
  <c r="N35" i="4"/>
  <c r="N104" i="4"/>
  <c r="N32" i="4"/>
  <c r="N93" i="4"/>
  <c r="N30" i="4"/>
  <c r="N90" i="4"/>
  <c r="N31" i="4"/>
  <c r="N91" i="4"/>
  <c r="N96" i="4"/>
  <c r="N97" i="4"/>
  <c r="N98" i="4"/>
  <c r="N99" i="4"/>
  <c r="N103" i="4"/>
  <c r="N92" i="4"/>
  <c r="N94" i="4"/>
  <c r="N95" i="4"/>
  <c r="N33" i="4"/>
  <c r="N101" i="4"/>
  <c r="N36" i="4"/>
  <c r="N105" i="4"/>
  <c r="N106" i="4"/>
  <c r="N107" i="4"/>
  <c r="N108" i="4"/>
  <c r="N109" i="4"/>
  <c r="N69" i="4"/>
  <c r="N72" i="4"/>
  <c r="N81" i="4"/>
  <c r="O35" i="4"/>
  <c r="O104" i="4"/>
  <c r="O32" i="4"/>
  <c r="O93" i="4"/>
  <c r="O30" i="4"/>
  <c r="O90" i="4"/>
  <c r="O31" i="4"/>
  <c r="O91" i="4"/>
  <c r="O96" i="4"/>
  <c r="O97" i="4"/>
  <c r="O98" i="4"/>
  <c r="O99" i="4"/>
  <c r="O103" i="4"/>
  <c r="O92" i="4"/>
  <c r="O94" i="4"/>
  <c r="O95" i="4"/>
  <c r="O33" i="4"/>
  <c r="O101" i="4"/>
  <c r="O36" i="4"/>
  <c r="O105" i="4"/>
  <c r="O106" i="4"/>
  <c r="O107" i="4"/>
  <c r="O108" i="4"/>
  <c r="O109" i="4"/>
  <c r="O69" i="4"/>
  <c r="O72" i="4"/>
  <c r="O81" i="4"/>
  <c r="O82" i="4"/>
  <c r="O41" i="4"/>
  <c r="N82" i="4"/>
  <c r="N41" i="4"/>
  <c r="M82" i="4"/>
  <c r="M41" i="4"/>
  <c r="L82" i="4"/>
  <c r="L41" i="4"/>
  <c r="K82" i="4"/>
  <c r="K41" i="4"/>
  <c r="J82" i="4"/>
  <c r="J41" i="4"/>
  <c r="I82" i="4"/>
  <c r="I41" i="4"/>
  <c r="H82" i="4"/>
  <c r="H41" i="4"/>
  <c r="G82" i="4"/>
  <c r="G41" i="4"/>
  <c r="F82" i="4"/>
  <c r="F41" i="4"/>
  <c r="E82" i="4"/>
  <c r="E41" i="4"/>
  <c r="D82" i="4"/>
  <c r="D41" i="4"/>
  <c r="C82" i="4"/>
  <c r="C41" i="4"/>
  <c r="B82" i="4"/>
  <c r="B41" i="4"/>
  <c r="O119" i="4"/>
  <c r="O114" i="4"/>
  <c r="O115" i="4"/>
  <c r="O116" i="4"/>
  <c r="O117" i="4"/>
  <c r="O118" i="4"/>
  <c r="O120" i="4"/>
  <c r="O127" i="4"/>
  <c r="N119" i="4"/>
  <c r="N114" i="4"/>
  <c r="N115" i="4"/>
  <c r="N116" i="4"/>
  <c r="N117" i="4"/>
  <c r="N118" i="4"/>
  <c r="N120" i="4"/>
  <c r="N127" i="4"/>
  <c r="M119" i="4"/>
  <c r="M114" i="4"/>
  <c r="M115" i="4"/>
  <c r="M116" i="4"/>
  <c r="M117" i="4"/>
  <c r="M118" i="4"/>
  <c r="M120" i="4"/>
  <c r="M127" i="4"/>
  <c r="L119" i="4"/>
  <c r="L114" i="4"/>
  <c r="L115" i="4"/>
  <c r="L116" i="4"/>
  <c r="L117" i="4"/>
  <c r="L118" i="4"/>
  <c r="L120" i="4"/>
  <c r="L127" i="4"/>
  <c r="K119" i="4"/>
  <c r="K114" i="4"/>
  <c r="K115" i="4"/>
  <c r="K116" i="4"/>
  <c r="K117" i="4"/>
  <c r="K118" i="4"/>
  <c r="K120" i="4"/>
  <c r="K127" i="4"/>
  <c r="J119" i="4"/>
  <c r="J114" i="4"/>
  <c r="J115" i="4"/>
  <c r="J116" i="4"/>
  <c r="J117" i="4"/>
  <c r="J118" i="4"/>
  <c r="J120" i="4"/>
  <c r="J127" i="4"/>
  <c r="I119" i="4"/>
  <c r="I114" i="4"/>
  <c r="I115" i="4"/>
  <c r="I116" i="4"/>
  <c r="I117" i="4"/>
  <c r="I118" i="4"/>
  <c r="I120" i="4"/>
  <c r="I127" i="4"/>
  <c r="H119" i="4"/>
  <c r="H114" i="4"/>
  <c r="H115" i="4"/>
  <c r="H116" i="4"/>
  <c r="H117" i="4"/>
  <c r="H118" i="4"/>
  <c r="H120" i="4"/>
  <c r="H127" i="4"/>
  <c r="G119" i="4"/>
  <c r="G114" i="4"/>
  <c r="G115" i="4"/>
  <c r="G116" i="4"/>
  <c r="G117" i="4"/>
  <c r="G118" i="4"/>
  <c r="G120" i="4"/>
  <c r="G127" i="4"/>
  <c r="F119" i="4"/>
  <c r="F114" i="4"/>
  <c r="F115" i="4"/>
  <c r="F116" i="4"/>
  <c r="F117" i="4"/>
  <c r="F118" i="4"/>
  <c r="F120" i="4"/>
  <c r="F127" i="4"/>
  <c r="E119" i="4"/>
  <c r="E114" i="4"/>
  <c r="E115" i="4"/>
  <c r="E116" i="4"/>
  <c r="E117" i="4"/>
  <c r="E118" i="4"/>
  <c r="E120" i="4"/>
  <c r="E127" i="4"/>
  <c r="O126" i="4"/>
  <c r="N126" i="4"/>
  <c r="M126" i="4"/>
  <c r="L126" i="4"/>
  <c r="K126" i="4"/>
  <c r="J126" i="4"/>
  <c r="I126" i="4"/>
  <c r="H126" i="4"/>
  <c r="G126" i="4"/>
  <c r="F126" i="4"/>
  <c r="E126" i="4"/>
  <c r="O125" i="4"/>
  <c r="N125" i="4"/>
  <c r="M125" i="4"/>
  <c r="L125" i="4"/>
  <c r="K125" i="4"/>
  <c r="J125" i="4"/>
  <c r="I125" i="4"/>
  <c r="H125" i="4"/>
  <c r="G125" i="4"/>
  <c r="F125" i="4"/>
  <c r="E125" i="4"/>
  <c r="O124" i="4"/>
  <c r="N124" i="4"/>
  <c r="M124" i="4"/>
  <c r="L124" i="4"/>
  <c r="K124" i="4"/>
  <c r="J124" i="4"/>
  <c r="I124" i="4"/>
  <c r="H124" i="4"/>
  <c r="G124" i="4"/>
  <c r="F124" i="4"/>
  <c r="E124" i="4"/>
  <c r="O123" i="4"/>
  <c r="N123" i="4"/>
  <c r="M123" i="4"/>
  <c r="L123" i="4"/>
  <c r="K123" i="4"/>
  <c r="J123" i="4"/>
  <c r="I123" i="4"/>
  <c r="H123" i="4"/>
  <c r="G123" i="4"/>
  <c r="F123" i="4"/>
  <c r="E123" i="4"/>
  <c r="O122" i="4"/>
  <c r="N122" i="4"/>
  <c r="M122" i="4"/>
  <c r="L122" i="4"/>
  <c r="K122" i="4"/>
  <c r="J122" i="4"/>
  <c r="I122" i="4"/>
  <c r="H122" i="4"/>
  <c r="G122" i="4"/>
  <c r="F122" i="4"/>
  <c r="E122" i="4"/>
  <c r="D114" i="4"/>
  <c r="D115" i="4"/>
  <c r="D116" i="4"/>
  <c r="D117" i="4"/>
  <c r="D118" i="4"/>
  <c r="D119" i="4"/>
  <c r="D120" i="4"/>
  <c r="D127" i="4"/>
  <c r="D126" i="4"/>
  <c r="D125" i="4"/>
  <c r="D124" i="4"/>
  <c r="D123" i="4"/>
  <c r="D122" i="4"/>
  <c r="B88" i="4"/>
  <c r="O40" i="4"/>
  <c r="O39" i="4"/>
  <c r="O42" i="4"/>
  <c r="N40" i="4"/>
  <c r="N39" i="4"/>
  <c r="N42" i="4"/>
  <c r="M40" i="4"/>
  <c r="M39" i="4"/>
  <c r="M42" i="4"/>
  <c r="L40" i="4"/>
  <c r="L39" i="4"/>
  <c r="L42" i="4"/>
  <c r="K40" i="4"/>
  <c r="K39" i="4"/>
  <c r="K42" i="4"/>
  <c r="J40" i="4"/>
  <c r="J39" i="4"/>
  <c r="J42" i="4"/>
  <c r="I40" i="4"/>
  <c r="I39" i="4"/>
  <c r="I42" i="4"/>
  <c r="H40" i="4"/>
  <c r="H39" i="4"/>
  <c r="H42" i="4"/>
  <c r="G40" i="4"/>
  <c r="G39" i="4"/>
  <c r="G42" i="4"/>
  <c r="F40" i="4"/>
  <c r="F39" i="4"/>
  <c r="F42" i="4"/>
  <c r="E40" i="4"/>
  <c r="E39" i="4"/>
  <c r="E42" i="4"/>
  <c r="D39" i="4"/>
  <c r="D40" i="4"/>
  <c r="D42" i="4"/>
  <c r="C39" i="4"/>
  <c r="C40" i="4"/>
  <c r="C42" i="4"/>
  <c r="B72" i="4"/>
  <c r="B39" i="4"/>
  <c r="B40" i="4"/>
  <c r="B42" i="4"/>
  <c r="D111" i="4"/>
  <c r="C111" i="4"/>
  <c r="B111" i="4"/>
  <c r="D20" i="5"/>
  <c r="D19" i="5"/>
  <c r="D18" i="5"/>
  <c r="D17" i="5"/>
  <c r="D16" i="5"/>
  <c r="D15" i="5"/>
  <c r="D14" i="5"/>
  <c r="D13" i="5"/>
  <c r="D12" i="5"/>
  <c r="D11" i="5"/>
  <c r="D10" i="5"/>
  <c r="D9" i="5"/>
  <c r="D8" i="5"/>
  <c r="D7" i="5"/>
  <c r="D6" i="5"/>
  <c r="D5" i="5"/>
  <c r="C19" i="5"/>
  <c r="C18" i="5"/>
  <c r="C17" i="5"/>
  <c r="C16" i="5"/>
  <c r="C15" i="5"/>
  <c r="C14" i="5"/>
  <c r="C13" i="5"/>
  <c r="C12" i="5"/>
  <c r="C11" i="5"/>
  <c r="C10" i="5"/>
  <c r="C9" i="5"/>
  <c r="C8" i="5"/>
  <c r="C7" i="5"/>
  <c r="C6" i="5"/>
  <c r="B5" i="5"/>
  <c r="C5" i="5"/>
  <c r="C20" i="5"/>
  <c r="I6" i="3"/>
  <c r="J6" i="3"/>
  <c r="I7" i="3"/>
  <c r="J7" i="3"/>
  <c r="I8" i="3"/>
  <c r="J8" i="3"/>
  <c r="I9" i="3"/>
  <c r="J9" i="3"/>
  <c r="I10" i="3"/>
  <c r="J10" i="3"/>
  <c r="I11" i="3"/>
  <c r="J11" i="3"/>
  <c r="I12" i="3"/>
  <c r="J12" i="3"/>
  <c r="I13" i="3"/>
  <c r="J13" i="3"/>
  <c r="I14" i="3"/>
  <c r="J14" i="3"/>
  <c r="I15" i="3"/>
  <c r="J15" i="3"/>
  <c r="I16" i="3"/>
  <c r="J16" i="3"/>
  <c r="I17" i="3"/>
  <c r="J17" i="3"/>
  <c r="J19" i="3"/>
  <c r="I23" i="3"/>
  <c r="J23" i="3"/>
  <c r="J25" i="3"/>
  <c r="I19" i="3"/>
  <c r="I25" i="3"/>
  <c r="J26" i="3"/>
  <c r="B19" i="3"/>
  <c r="B25" i="3"/>
  <c r="I26" i="3"/>
  <c r="D25" i="3"/>
  <c r="E25" i="3"/>
  <c r="F25" i="3"/>
  <c r="F23" i="3"/>
  <c r="F17" i="3"/>
  <c r="F16" i="3"/>
  <c r="F15" i="3"/>
  <c r="F14" i="3"/>
  <c r="F13" i="3"/>
  <c r="F12" i="3"/>
  <c r="F11" i="3"/>
  <c r="F10" i="3"/>
  <c r="F9" i="3"/>
  <c r="F8" i="3"/>
  <c r="F7" i="3"/>
  <c r="F6" i="3"/>
  <c r="G43" i="3"/>
  <c r="G38" i="3"/>
  <c r="G57" i="3"/>
  <c r="G51" i="3"/>
  <c r="G56" i="3"/>
  <c r="G50" i="3"/>
  <c r="G55" i="3"/>
  <c r="G49" i="3"/>
  <c r="G54" i="3"/>
  <c r="G48" i="3"/>
  <c r="F43" i="3"/>
  <c r="F38" i="3"/>
  <c r="F57" i="3"/>
  <c r="F51" i="3"/>
  <c r="F56" i="3"/>
  <c r="F50" i="3"/>
  <c r="F55" i="3"/>
  <c r="F49" i="3"/>
  <c r="F54" i="3"/>
  <c r="F48" i="3"/>
  <c r="D40" i="3"/>
  <c r="D41" i="3"/>
  <c r="D42" i="3"/>
  <c r="D43" i="3"/>
  <c r="D37" i="3"/>
  <c r="D38" i="3"/>
  <c r="D57" i="3"/>
  <c r="D51" i="3"/>
  <c r="D56" i="3"/>
  <c r="D50" i="3"/>
  <c r="D55" i="3"/>
  <c r="D49" i="3"/>
  <c r="D54" i="3"/>
  <c r="D48" i="3"/>
  <c r="B43" i="3"/>
  <c r="B38" i="3"/>
  <c r="B57" i="3"/>
  <c r="B51" i="3"/>
  <c r="B56" i="3"/>
  <c r="B50" i="3"/>
  <c r="B55" i="3"/>
  <c r="B49" i="3"/>
  <c r="B54" i="3"/>
  <c r="B48" i="3"/>
  <c r="J55" i="3"/>
  <c r="J56" i="3"/>
  <c r="J57" i="3"/>
  <c r="J60" i="3"/>
  <c r="I55" i="3"/>
  <c r="I56" i="3"/>
  <c r="I57" i="3"/>
  <c r="I60" i="3"/>
  <c r="J54" i="3"/>
  <c r="J59" i="3"/>
  <c r="I54" i="3"/>
  <c r="I59" i="3"/>
  <c r="M7" i="2"/>
  <c r="M8" i="2"/>
  <c r="M9" i="2"/>
  <c r="M10" i="2"/>
  <c r="M11" i="2"/>
  <c r="M12" i="2"/>
  <c r="M13" i="2"/>
  <c r="M14" i="2"/>
  <c r="M15" i="2"/>
  <c r="M16" i="2"/>
  <c r="M17" i="2"/>
  <c r="M18" i="2"/>
  <c r="M19" i="2"/>
  <c r="M20" i="2"/>
  <c r="M21" i="2"/>
  <c r="H22" i="2"/>
  <c r="M22" i="2"/>
  <c r="M23" i="2"/>
  <c r="M27" i="2"/>
  <c r="M26" i="2"/>
  <c r="L7" i="2"/>
  <c r="L8" i="2"/>
  <c r="L9" i="2"/>
  <c r="L10" i="2"/>
  <c r="L11" i="2"/>
  <c r="L12" i="2"/>
  <c r="L13" i="2"/>
  <c r="L14" i="2"/>
  <c r="L15" i="2"/>
  <c r="L16" i="2"/>
  <c r="L17" i="2"/>
  <c r="L18" i="2"/>
  <c r="L19" i="2"/>
  <c r="L20" i="2"/>
  <c r="L21" i="2"/>
  <c r="L22" i="2"/>
  <c r="L23" i="2"/>
  <c r="L27" i="2"/>
  <c r="L26" i="2"/>
  <c r="J27" i="2"/>
  <c r="J26" i="2"/>
  <c r="I27" i="2"/>
  <c r="I26" i="2"/>
  <c r="H27" i="2"/>
  <c r="H26" i="2"/>
  <c r="F27" i="2"/>
  <c r="F26" i="2"/>
  <c r="E27" i="2"/>
  <c r="E26" i="2"/>
  <c r="C27" i="2"/>
  <c r="B27" i="2"/>
  <c r="C26" i="2"/>
  <c r="B26" i="2"/>
  <c r="D62" i="1"/>
  <c r="E68" i="1"/>
  <c r="E62" i="1"/>
  <c r="F68" i="1"/>
  <c r="F62" i="1"/>
  <c r="G68" i="1"/>
  <c r="G62" i="1"/>
  <c r="D65" i="1"/>
  <c r="E70" i="1"/>
  <c r="E65" i="1"/>
  <c r="F70" i="1"/>
  <c r="F65" i="1"/>
  <c r="G70" i="1"/>
  <c r="G65" i="1"/>
  <c r="H70" i="1"/>
  <c r="H65" i="1"/>
  <c r="I70" i="1"/>
  <c r="I65" i="1"/>
  <c r="J70" i="1"/>
  <c r="J65" i="1"/>
  <c r="K70" i="1"/>
  <c r="K65" i="1"/>
  <c r="D63" i="1"/>
  <c r="D21" i="1"/>
  <c r="D23" i="1"/>
  <c r="E28" i="1"/>
  <c r="E23" i="1"/>
  <c r="F28" i="1"/>
  <c r="F23" i="1"/>
  <c r="G28" i="1"/>
  <c r="G23" i="1"/>
  <c r="H28" i="1"/>
  <c r="H23" i="1"/>
  <c r="I28" i="1"/>
  <c r="I23" i="1"/>
  <c r="J28" i="1"/>
  <c r="J23" i="1"/>
  <c r="K28" i="1"/>
  <c r="K23" i="1"/>
  <c r="L28" i="1"/>
  <c r="L23" i="1"/>
  <c r="M28" i="1"/>
  <c r="M23" i="1"/>
  <c r="N28" i="1"/>
  <c r="N23" i="1"/>
  <c r="D22" i="1"/>
  <c r="E27" i="1"/>
  <c r="E22" i="1"/>
  <c r="F27" i="1"/>
  <c r="F22" i="1"/>
  <c r="G27" i="1"/>
  <c r="G22" i="1"/>
  <c r="H27" i="1"/>
  <c r="H22" i="1"/>
  <c r="I27" i="1"/>
  <c r="I22" i="1"/>
  <c r="J27" i="1"/>
  <c r="J22" i="1"/>
  <c r="K27" i="1"/>
  <c r="K22" i="1"/>
  <c r="L27" i="1"/>
  <c r="L22" i="1"/>
  <c r="M27" i="1"/>
  <c r="M22" i="1"/>
  <c r="N27" i="1"/>
  <c r="N22" i="1"/>
  <c r="E26" i="1"/>
  <c r="E21" i="1"/>
  <c r="F26" i="1"/>
  <c r="F21" i="1"/>
  <c r="G26" i="1"/>
  <c r="G21" i="1"/>
  <c r="H26" i="1"/>
  <c r="H21" i="1"/>
  <c r="I26" i="1"/>
  <c r="I21" i="1"/>
  <c r="J26" i="1"/>
  <c r="J21" i="1"/>
  <c r="K26" i="1"/>
  <c r="K21" i="1"/>
  <c r="L26" i="1"/>
  <c r="L21" i="1"/>
  <c r="M26" i="1"/>
  <c r="M21" i="1"/>
  <c r="N26" i="1"/>
  <c r="N21" i="1"/>
  <c r="D20" i="1"/>
  <c r="E25" i="1"/>
  <c r="E20" i="1"/>
  <c r="F25" i="1"/>
  <c r="F20" i="1"/>
  <c r="G25" i="1"/>
  <c r="G20" i="1"/>
  <c r="H25" i="1"/>
  <c r="H20" i="1"/>
  <c r="I25" i="1"/>
  <c r="I20" i="1"/>
  <c r="J25" i="1"/>
  <c r="J20" i="1"/>
  <c r="K25" i="1"/>
  <c r="K20" i="1"/>
  <c r="L25" i="1"/>
  <c r="L20" i="1"/>
  <c r="M25" i="1"/>
  <c r="M20" i="1"/>
  <c r="N25" i="1"/>
  <c r="N20" i="1"/>
  <c r="D9" i="1"/>
  <c r="E14" i="1"/>
  <c r="E9" i="1"/>
  <c r="F14" i="1"/>
  <c r="F9" i="1"/>
  <c r="G14" i="1"/>
  <c r="G9" i="1"/>
  <c r="H14" i="1"/>
  <c r="H9" i="1"/>
  <c r="I14" i="1"/>
  <c r="I9" i="1"/>
  <c r="J14" i="1"/>
  <c r="J9" i="1"/>
  <c r="K14" i="1"/>
  <c r="K9" i="1"/>
  <c r="L14" i="1"/>
  <c r="L9" i="1"/>
  <c r="M14" i="1"/>
  <c r="M9" i="1"/>
  <c r="N14" i="1"/>
  <c r="N9" i="1"/>
  <c r="D8" i="1"/>
  <c r="E13" i="1"/>
  <c r="E8" i="1"/>
  <c r="F13" i="1"/>
  <c r="F8" i="1"/>
  <c r="G13" i="1"/>
  <c r="G8" i="1"/>
  <c r="H13" i="1"/>
  <c r="H8" i="1"/>
  <c r="I13" i="1"/>
  <c r="I8" i="1"/>
  <c r="J13" i="1"/>
  <c r="J8" i="1"/>
  <c r="K13" i="1"/>
  <c r="K8" i="1"/>
  <c r="L13" i="1"/>
  <c r="L8" i="1"/>
  <c r="M13" i="1"/>
  <c r="M8" i="1"/>
  <c r="N13" i="1"/>
  <c r="N8" i="1"/>
  <c r="D7" i="1"/>
  <c r="E12" i="1"/>
  <c r="E7" i="1"/>
  <c r="F12" i="1"/>
  <c r="F7" i="1"/>
  <c r="G12" i="1"/>
  <c r="G7" i="1"/>
  <c r="H12" i="1"/>
  <c r="H7" i="1"/>
  <c r="I12" i="1"/>
  <c r="I7" i="1"/>
  <c r="J12" i="1"/>
  <c r="J7" i="1"/>
  <c r="K12" i="1"/>
  <c r="K7" i="1"/>
  <c r="L12" i="1"/>
  <c r="L7" i="1"/>
  <c r="M12" i="1"/>
  <c r="M7" i="1"/>
  <c r="N12" i="1"/>
  <c r="N7" i="1"/>
  <c r="D6" i="1"/>
  <c r="E11" i="1"/>
  <c r="E6" i="1"/>
  <c r="F11" i="1"/>
  <c r="F6" i="1"/>
  <c r="G11" i="1"/>
  <c r="G6" i="1"/>
  <c r="H11" i="1"/>
  <c r="H6" i="1"/>
  <c r="I11" i="1"/>
  <c r="I6" i="1"/>
  <c r="J11" i="1"/>
  <c r="J6" i="1"/>
  <c r="K11" i="1"/>
  <c r="K6" i="1"/>
  <c r="L11" i="1"/>
  <c r="L6" i="1"/>
  <c r="M11" i="1"/>
  <c r="M6" i="1"/>
  <c r="N11" i="1"/>
  <c r="N6" i="1"/>
  <c r="C25" i="1"/>
  <c r="D66" i="1"/>
  <c r="E71" i="1"/>
  <c r="E66" i="1"/>
  <c r="F71" i="1"/>
  <c r="F66" i="1"/>
  <c r="G71" i="1"/>
  <c r="G66" i="1"/>
  <c r="H71" i="1"/>
  <c r="H66" i="1"/>
  <c r="I71" i="1"/>
  <c r="I66" i="1"/>
  <c r="J71" i="1"/>
  <c r="J66" i="1"/>
  <c r="K71" i="1"/>
  <c r="K66" i="1"/>
  <c r="L71" i="1"/>
  <c r="L66" i="1"/>
  <c r="M71" i="1"/>
  <c r="M66" i="1"/>
  <c r="N71" i="1"/>
  <c r="N66" i="1"/>
  <c r="L70" i="1"/>
  <c r="L65" i="1"/>
  <c r="M70" i="1"/>
  <c r="M65" i="1"/>
  <c r="N70" i="1"/>
  <c r="N65" i="1"/>
  <c r="E69" i="1"/>
  <c r="E63" i="1"/>
  <c r="F69" i="1"/>
  <c r="F63" i="1"/>
  <c r="G69" i="1"/>
  <c r="G63" i="1"/>
  <c r="H69" i="1"/>
  <c r="H63" i="1"/>
  <c r="I69" i="1"/>
  <c r="I63" i="1"/>
  <c r="J69" i="1"/>
  <c r="J63" i="1"/>
  <c r="K69" i="1"/>
  <c r="K63" i="1"/>
  <c r="L69" i="1"/>
  <c r="L63" i="1"/>
  <c r="M69" i="1"/>
  <c r="M63" i="1"/>
  <c r="N69" i="1"/>
  <c r="N63" i="1"/>
  <c r="H68" i="1"/>
  <c r="I68" i="1"/>
  <c r="J68" i="1"/>
  <c r="K68" i="1"/>
  <c r="L68" i="1"/>
  <c r="M68" i="1"/>
  <c r="N68" i="1"/>
  <c r="H62" i="1"/>
  <c r="I62" i="1"/>
  <c r="J62" i="1"/>
  <c r="K62" i="1"/>
  <c r="L62" i="1"/>
  <c r="M62" i="1"/>
  <c r="N62" i="1"/>
  <c r="C14" i="1"/>
  <c r="C13" i="1"/>
  <c r="C12" i="1"/>
  <c r="C11" i="1"/>
  <c r="C26" i="1"/>
  <c r="C28" i="1"/>
  <c r="C27" i="1"/>
  <c r="C71" i="1"/>
  <c r="C70" i="1"/>
  <c r="C69" i="1"/>
  <c r="C68" i="1"/>
</calcChain>
</file>

<file path=xl/sharedStrings.xml><?xml version="1.0" encoding="utf-8"?>
<sst xmlns="http://schemas.openxmlformats.org/spreadsheetml/2006/main" count="503" uniqueCount="245">
  <si>
    <t>Current</t>
  </si>
  <si>
    <t>Ten-year business forecast</t>
  </si>
  <si>
    <t>FY17</t>
  </si>
  <si>
    <t>FY18</t>
  </si>
  <si>
    <t>FY19</t>
  </si>
  <si>
    <t>FY20</t>
  </si>
  <si>
    <t>FY21</t>
  </si>
  <si>
    <t>FY22</t>
  </si>
  <si>
    <t>FY23</t>
  </si>
  <si>
    <t>FY24</t>
  </si>
  <si>
    <t>FY25</t>
  </si>
  <si>
    <t>FY26</t>
  </si>
  <si>
    <t>FY27</t>
  </si>
  <si>
    <t>Res UG Tuit- Engineering Diff</t>
  </si>
  <si>
    <t>Res UG Tuit- Honors Prog Diff</t>
  </si>
  <si>
    <t>Res UG Tuit- Pre Engnring Diff</t>
  </si>
  <si>
    <t>Res UG Tuit- Business Diff</t>
  </si>
  <si>
    <t>Res UG Tuit- Health Prog Diff</t>
  </si>
  <si>
    <t>Res UG Tuit- Forestry Diff</t>
  </si>
  <si>
    <t>Res Grad Tuit- Engineering Diff</t>
  </si>
  <si>
    <t>Res Grad Tuit- MBA Prog Diff</t>
  </si>
  <si>
    <t>Res Grad Tuit- Health Prog Diff</t>
  </si>
  <si>
    <t>Ecampus Fee</t>
  </si>
  <si>
    <t>Resident graduate</t>
  </si>
  <si>
    <t>Peers</t>
  </si>
  <si>
    <t>Nonresident graduate</t>
  </si>
  <si>
    <t>Resident undergraduate</t>
  </si>
  <si>
    <t>Nonresident undergraduate</t>
  </si>
  <si>
    <t>Peers median</t>
  </si>
  <si>
    <t>GRADUATE</t>
  </si>
  <si>
    <t>UNDERGRADUATE</t>
  </si>
  <si>
    <t>Projection of full time annual tuition (12 credits graduate, 15 credits undergraduate per term)</t>
  </si>
  <si>
    <t>DIFFERENTIALS</t>
  </si>
  <si>
    <t>FY28</t>
  </si>
  <si>
    <t>Fy29</t>
  </si>
  <si>
    <t>Ecampus (semster equivalent per SCH)</t>
  </si>
  <si>
    <t>Strategic peers median</t>
  </si>
  <si>
    <t>Graduate</t>
  </si>
  <si>
    <t>Undergraduate</t>
  </si>
  <si>
    <t>FY29</t>
  </si>
  <si>
    <t>National</t>
  </si>
  <si>
    <t>Tuit</t>
  </si>
  <si>
    <t>FY2000</t>
  </si>
  <si>
    <t>FY01</t>
  </si>
  <si>
    <t>FY02</t>
  </si>
  <si>
    <t>FY03</t>
  </si>
  <si>
    <t>FY04</t>
  </si>
  <si>
    <t>FY05</t>
  </si>
  <si>
    <t>FY07</t>
  </si>
  <si>
    <t>FY08</t>
  </si>
  <si>
    <t>FY09</t>
  </si>
  <si>
    <t>FY10</t>
  </si>
  <si>
    <t>FY12</t>
  </si>
  <si>
    <t>Fy13</t>
  </si>
  <si>
    <t>FY14</t>
  </si>
  <si>
    <t>FY15</t>
  </si>
  <si>
    <t>FY16</t>
  </si>
  <si>
    <t>CPI Academic Year</t>
  </si>
  <si>
    <t>CPI Annual</t>
  </si>
  <si>
    <t>HEPI</t>
  </si>
  <si>
    <t>CPI-U</t>
  </si>
  <si>
    <t>HECA 2</t>
  </si>
  <si>
    <t>HEPI 3</t>
  </si>
  <si>
    <t>HEPi</t>
  </si>
  <si>
    <t>Commonfund</t>
  </si>
  <si>
    <t>SHEOO HECA Report</t>
  </si>
  <si>
    <t>CPI</t>
  </si>
  <si>
    <t xml:space="preserve">FY20 </t>
  </si>
  <si>
    <t>FY11</t>
  </si>
  <si>
    <t>FY06</t>
  </si>
  <si>
    <t>Delta HECA</t>
  </si>
  <si>
    <t>DELTA HEPI</t>
  </si>
  <si>
    <t>Average</t>
  </si>
  <si>
    <t>Median</t>
  </si>
  <si>
    <t>Cost Projections:</t>
  </si>
  <si>
    <t>FY17 Projections</t>
  </si>
  <si>
    <t>Inflation/ Rate Change</t>
  </si>
  <si>
    <t>Unclassified Salary &amp; Pay</t>
  </si>
  <si>
    <t>Unclassified OPE</t>
  </si>
  <si>
    <t>Classified Salary &amp; Pay</t>
  </si>
  <si>
    <t>Classified OPE</t>
  </si>
  <si>
    <t>Graduate &amp; Student Pay</t>
  </si>
  <si>
    <t>Graduate Fee Remissions</t>
  </si>
  <si>
    <t>Graduate &amp; Student OPE</t>
  </si>
  <si>
    <r>
      <t xml:space="preserve">Other Salary Costs </t>
    </r>
    <r>
      <rPr>
        <vertAlign val="superscript"/>
        <sz val="11"/>
        <color theme="1"/>
        <rFont val="Calibri"/>
        <family val="2"/>
      </rPr>
      <t>5</t>
    </r>
  </si>
  <si>
    <t>Services &amp; Supplies</t>
  </si>
  <si>
    <t>Capital Outlay</t>
  </si>
  <si>
    <t>Student Aid</t>
  </si>
  <si>
    <t>Service Credits</t>
  </si>
  <si>
    <t>Total Expenditures</t>
  </si>
  <si>
    <t>Transfers In</t>
  </si>
  <si>
    <t>Transfers Out</t>
  </si>
  <si>
    <t>Net transfers:</t>
  </si>
  <si>
    <t>Net expenditures:</t>
  </si>
  <si>
    <t>Driver</t>
  </si>
  <si>
    <t>Components of Benefits Costs at OSU</t>
  </si>
  <si>
    <t>% of Salary Components</t>
  </si>
  <si>
    <t>Social Security</t>
  </si>
  <si>
    <t>Medicare</t>
  </si>
  <si>
    <t>Unemployment</t>
  </si>
  <si>
    <t>SAIF</t>
  </si>
  <si>
    <t>Average Retirement</t>
  </si>
  <si>
    <t>Total</t>
  </si>
  <si>
    <t>Fixed charge components</t>
  </si>
  <si>
    <t xml:space="preserve">Health insurance </t>
  </si>
  <si>
    <t>Workers Comp</t>
  </si>
  <si>
    <t>Basic Life</t>
  </si>
  <si>
    <t>Illustration of Costs at Different Salary Levels</t>
  </si>
  <si>
    <t>Annual 12-month Salary</t>
  </si>
  <si>
    <t>Benefits as %:</t>
  </si>
  <si>
    <t>Benefits as $:</t>
  </si>
  <si>
    <t>Detailed retirement rates and distribution</t>
  </si>
  <si>
    <t>Classified use:</t>
  </si>
  <si>
    <t>Program:</t>
  </si>
  <si>
    <t>Rate</t>
  </si>
  <si>
    <t>Percent of active employees in program</t>
  </si>
  <si>
    <t>Unclassified use:</t>
  </si>
  <si>
    <t>PERS - Tier1 / Tier2</t>
  </si>
  <si>
    <t>PERS - Tier3</t>
  </si>
  <si>
    <t>ORP - Tier1 / Tier2</t>
  </si>
  <si>
    <t>ORP - Tier3</t>
  </si>
  <si>
    <t xml:space="preserve">ORP - Tier4 </t>
  </si>
  <si>
    <t>8% plus up to 4% match of 403(b)</t>
  </si>
  <si>
    <t>State</t>
  </si>
  <si>
    <t>Contract</t>
  </si>
  <si>
    <t>Tuition</t>
  </si>
  <si>
    <t>Various</t>
  </si>
  <si>
    <t>FY18 (First yr. of biennium)</t>
  </si>
  <si>
    <t>FY19 (2nd Yr)</t>
  </si>
  <si>
    <t>Average cost inflation assumptions, local drivers at OSU</t>
  </si>
  <si>
    <t>Assumes first year of biennium sees maximum increases in PERS</t>
  </si>
  <si>
    <t>Biennium</t>
  </si>
  <si>
    <t>FY18 Dollars</t>
  </si>
  <si>
    <t>FY19 Dollars</t>
  </si>
  <si>
    <t>Average over two years</t>
  </si>
  <si>
    <t>Half CPI</t>
  </si>
  <si>
    <t>Annual E&amp;G Cost growth</t>
  </si>
  <si>
    <t>Known increments:</t>
  </si>
  <si>
    <t>Foundation</t>
  </si>
  <si>
    <t>Athletics</t>
  </si>
  <si>
    <t>Capital renewal funding</t>
  </si>
  <si>
    <t>Projected Expenditures:</t>
  </si>
  <si>
    <t>Total Salaries and OPE</t>
  </si>
  <si>
    <t>Net transfers</t>
  </si>
  <si>
    <t>Total:</t>
  </si>
  <si>
    <t>Net Services and Supplies</t>
  </si>
  <si>
    <t>Fund balance:</t>
  </si>
  <si>
    <t>Projected Revenues:</t>
  </si>
  <si>
    <t>Student Success</t>
  </si>
  <si>
    <t>Enrollment Fees</t>
  </si>
  <si>
    <t>Fee Waivers</t>
  </si>
  <si>
    <t>Government Appropriations</t>
  </si>
  <si>
    <t>F&amp;A Rate Recovery</t>
  </si>
  <si>
    <t>Interest Revenue</t>
  </si>
  <si>
    <t>Sales &amp; Services</t>
  </si>
  <si>
    <t>Other Revenues</t>
  </si>
  <si>
    <t>Resource and Student Fees</t>
  </si>
  <si>
    <t>Tuition:</t>
  </si>
  <si>
    <t>Subtotal Res Undergraduate</t>
  </si>
  <si>
    <t>Subtotal NR Undergraduate</t>
  </si>
  <si>
    <t>Subtotal Res Graduate</t>
  </si>
  <si>
    <t>Subtotal NR Graduate</t>
  </si>
  <si>
    <t>Subtotal VetMed</t>
  </si>
  <si>
    <t>Subtotal Pharmacy</t>
  </si>
  <si>
    <t>Subtotal Miscellaneous</t>
  </si>
  <si>
    <t>Ecampus tuition</t>
  </si>
  <si>
    <t>Ecampus fee (approx)</t>
  </si>
  <si>
    <t>Summer</t>
  </si>
  <si>
    <t>Other</t>
  </si>
  <si>
    <t>Instruction staffing growth</t>
  </si>
  <si>
    <t>FY13</t>
  </si>
  <si>
    <t>State Appropriation</t>
  </si>
  <si>
    <t>Average growth per year over sixteen years is 1.735%</t>
  </si>
  <si>
    <t>Annual</t>
  </si>
  <si>
    <t>Sixteen years at 1.735%</t>
  </si>
  <si>
    <t>Ten years at 2.484%</t>
  </si>
  <si>
    <t>Resident undergraduate tuition change</t>
  </si>
  <si>
    <t>Non-resident undergrad change</t>
  </si>
  <si>
    <t>Graduate and professional change</t>
  </si>
  <si>
    <t>Student fees</t>
  </si>
  <si>
    <t>State appropriations</t>
  </si>
  <si>
    <t>Other revenue growth</t>
  </si>
  <si>
    <t>Expenditures</t>
  </si>
  <si>
    <t>Revenues</t>
  </si>
  <si>
    <t>Cuts to balance</t>
  </si>
  <si>
    <t>Zero out known increments?</t>
  </si>
  <si>
    <t>no</t>
  </si>
  <si>
    <t>Fund balance without cuts</t>
  </si>
  <si>
    <t>Grad and Professional</t>
  </si>
  <si>
    <t>Undergraduate tuition and fees</t>
  </si>
  <si>
    <t>State funds</t>
  </si>
  <si>
    <t>F&amp;A recovery</t>
  </si>
  <si>
    <t>Sales and Service</t>
  </si>
  <si>
    <t>other</t>
  </si>
  <si>
    <t>Enrollment growth</t>
  </si>
  <si>
    <t>Enrollment growth?</t>
  </si>
  <si>
    <t>2017</t>
  </si>
  <si>
    <t>2016</t>
  </si>
  <si>
    <t>Fee Remissions</t>
  </si>
  <si>
    <t>State Appropriations</t>
  </si>
  <si>
    <t>Interest Revenues</t>
  </si>
  <si>
    <t>Total Revenues</t>
  </si>
  <si>
    <t>Expenses</t>
  </si>
  <si>
    <t>Service and Supplies</t>
  </si>
  <si>
    <t>Total Expenses</t>
  </si>
  <si>
    <t>Net Change From Operations</t>
  </si>
  <si>
    <t>Net Increase (Decrease) Fund Balance</t>
  </si>
  <si>
    <t xml:space="preserve">Beginning Fund Balance </t>
  </si>
  <si>
    <t>Ending Fund Balance</t>
  </si>
  <si>
    <t>2007</t>
  </si>
  <si>
    <t>2006</t>
  </si>
  <si>
    <t>2015</t>
  </si>
  <si>
    <t>2014</t>
  </si>
  <si>
    <t>2013</t>
  </si>
  <si>
    <t>2012</t>
  </si>
  <si>
    <t>2011</t>
  </si>
  <si>
    <t>2010</t>
  </si>
  <si>
    <t>2009</t>
  </si>
  <si>
    <t>2008</t>
  </si>
  <si>
    <t>Local Inflation</t>
  </si>
  <si>
    <t>Local</t>
  </si>
  <si>
    <t>CPI Inflation</t>
  </si>
  <si>
    <t>Total Headcount</t>
  </si>
  <si>
    <t>Ecampus only headcount</t>
  </si>
  <si>
    <t>Corvallis headcount</t>
  </si>
  <si>
    <t>Average growth per year over ten years to FY19 is  2.484%</t>
  </si>
  <si>
    <t>Average growth per year over five years 7.543%</t>
  </si>
  <si>
    <t>Five years at 7.543%</t>
  </si>
  <si>
    <t>yes</t>
  </si>
  <si>
    <t>Corvallis E&amp;G Projections Tool</t>
  </si>
  <si>
    <t>History of State Appropriations by year to Corvallis E&amp;G</t>
  </si>
  <si>
    <t>(includes earmarked funds)</t>
  </si>
  <si>
    <t>This page looks at history (and is not finished yet) with the goal of seeing what historical growth with headcount and FTE growth has been.</t>
  </si>
  <si>
    <t>This page is a piece of the ten year plan to track and plan long-term changes in all tuition rates</t>
  </si>
  <si>
    <t>This page summarizes various higher education inflation indices and estimates how local Oregon inflation might track those.</t>
  </si>
  <si>
    <t>A simple projection model.  Change the yellow highlighted percentages or settings to see consequences on budget and fund balance.  This assumes the current inflation rates.</t>
  </si>
  <si>
    <t>oc</t>
  </si>
  <si>
    <t>Corvallis Education and General Budget Projection Tool</t>
  </si>
  <si>
    <t>The Ten Year Projection Workbook is a first draft of a tool to allow someone to explore the long term impact of levels of state funding and tuition increases on the budget projections (revenues and expenses) for Corvallis Education and General Operations.  The components of the tool (some of these are in development to make the tool more detailed eventually) are:</t>
  </si>
  <si>
    <r>
      <t>Expense Revenue Tab</t>
    </r>
    <r>
      <rPr>
        <sz val="12"/>
        <color theme="1"/>
        <rFont val="Calibri"/>
        <family val="2"/>
        <scheme val="minor"/>
      </rPr>
      <t>:  This is the tool itself.  The model assumes historical rates of cost increases, enrollment growth consistent with the enrollment management plan, and known commitments to incremental cost increases (as for capital renewal funding).   The yellow highlighted cells are components that can be changed.  The known increments can be zeroed out, no enrollment growth can be assumed, and various tuition and revenues rate increases can be changed.  The tool estimates any cuts required to balance and the year-end fund balance as a percentage of revenues.</t>
    </r>
  </si>
  <si>
    <r>
      <t>Inflation Tab</t>
    </r>
    <r>
      <rPr>
        <sz val="12"/>
        <color theme="1"/>
        <rFont val="Calibri"/>
        <family val="2"/>
        <scheme val="minor"/>
      </rPr>
      <t>:   This tabulates various higher education inflation indices and estimates a local Oregon inflation rate (this is different than the national indices mostly because of the state pension system costs).  These indices are used in estimating the rate of expense growth.</t>
    </r>
  </si>
  <si>
    <r>
      <t>Local Inflation Tab</t>
    </r>
    <r>
      <rPr>
        <sz val="12"/>
        <color theme="1"/>
        <rFont val="Calibri"/>
        <family val="2"/>
        <scheme val="minor"/>
      </rPr>
      <t>:  This is the calculation of local inflation from individual factors and expense pools.  The tab includes detail on OSU’s benefit costs.</t>
    </r>
  </si>
  <si>
    <r>
      <t>State History Tab</t>
    </r>
    <r>
      <rPr>
        <sz val="12"/>
        <color theme="1"/>
        <rFont val="Calibri"/>
        <family val="2"/>
        <scheme val="minor"/>
      </rPr>
      <t>:   This shows the total state appropriation to OSU-Corvallis since FY03 and calculates average growth rates over the last 16, 10, and 5 years.</t>
    </r>
  </si>
  <si>
    <r>
      <t>Tuition Projection Tab</t>
    </r>
    <r>
      <rPr>
        <sz val="12"/>
        <color theme="1"/>
        <rFont val="Calibri"/>
        <family val="2"/>
        <scheme val="minor"/>
      </rPr>
      <t>:  This tabulates all the individual tuition rates.  These are not used in the model, but are being developed for long-term planning and use in the ten year business forecast.</t>
    </r>
  </si>
  <si>
    <r>
      <t>Marginal Cost with Growth Tab</t>
    </r>
    <r>
      <rPr>
        <sz val="12"/>
        <color theme="1"/>
        <rFont val="Calibri"/>
        <family val="2"/>
        <scheme val="minor"/>
      </rPr>
      <t>:  This tracks the history of revenues and expenditures for Corvallis E&amp;G to be used to calculate average margins of expense increase over inflation with enrollment growth.   This will be a component of the ten year business forecast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</si>
</sst>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1" formatCode="_(* #,##0_);_(* \(#,##0\);_(* &quot;-&quot;_);_(@_)"/>
    <numFmt numFmtId="43" formatCode="_(* #,##0.00_);_(* \(#,##0.00\);_(* &quot;-&quot;??_);_(@_)"/>
    <numFmt numFmtId="164" formatCode="0.0%"/>
    <numFmt numFmtId="165" formatCode="_(* #,##0_);_(* \(#,##0\);_(* &quot;-&quot;??_);_(@_)"/>
    <numFmt numFmtId="166" formatCode="_(* #,##0.0000_);_(* \(#,##0.0000\);_(* &quot;-&quot;??_);_(@_)"/>
    <numFmt numFmtId="167" formatCode="_(&quot;$&quot;* #,##0_);_(&quot;$&quot;* \(#,##0\);_(&quot;$&quot;* &quot;-&quot;??_);_(@_)"/>
    <numFmt numFmtId="168" formatCode="_(* #,##0.0000000_);_(* \(#,##0.0000000\);_(* &quot;-&quot;??_);_(@_)"/>
    <numFmt numFmtId="169" formatCode="0.000%"/>
    <numFmt numFmtId="170" formatCode="_(&quot;$&quot;* #,##0.0000_);_(&quot;$&quot;* \(#,##0.0000\);_(&quot;$&quot;* &quot;-&quot;_);_(@_)"/>
  </numFmts>
  <fonts count="2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0"/>
      <name val="Arial"/>
      <family val="2"/>
    </font>
    <font>
      <sz val="8"/>
      <color theme="1"/>
      <name val="Calibri"/>
      <family val="2"/>
      <scheme val="minor"/>
    </font>
    <font>
      <sz val="8"/>
      <name val="Calibri"/>
      <family val="2"/>
      <scheme val="minor"/>
    </font>
    <font>
      <sz val="10"/>
      <color indexed="8"/>
      <name val="Arial"/>
    </font>
    <font>
      <sz val="10"/>
      <color theme="1"/>
      <name val="Calibri"/>
      <family val="2"/>
      <scheme val="minor"/>
    </font>
    <font>
      <sz val="11"/>
      <color theme="1"/>
      <name val="Calibri"/>
      <scheme val="minor"/>
    </font>
    <font>
      <sz val="11"/>
      <color theme="1"/>
      <name val="Calibri"/>
    </font>
    <font>
      <vertAlign val="superscript"/>
      <sz val="11"/>
      <color theme="1"/>
      <name val="Calibri"/>
      <family val="2"/>
    </font>
    <font>
      <sz val="11"/>
      <name val="Calibri"/>
      <family val="2"/>
      <scheme val="minor"/>
    </font>
    <font>
      <b/>
      <sz val="11"/>
      <color theme="1"/>
      <name val="Calibri"/>
    </font>
    <font>
      <b/>
      <sz val="11"/>
      <color theme="1"/>
      <name val="Calibri"/>
      <scheme val="minor"/>
    </font>
    <font>
      <sz val="10"/>
      <name val="Segoe UI"/>
      <family val="2"/>
    </font>
    <font>
      <sz val="10"/>
      <name val="Arial"/>
      <family val="2"/>
    </font>
    <font>
      <b/>
      <sz val="10"/>
      <name val="Segoe UI"/>
      <family val="2"/>
    </font>
    <font>
      <b/>
      <sz val="10"/>
      <color theme="1"/>
      <name val="Calibri"/>
      <family val="2"/>
      <scheme val="minor"/>
    </font>
    <font>
      <sz val="10"/>
      <name val="Calibri"/>
      <family val="2"/>
      <scheme val="minor"/>
    </font>
    <font>
      <b/>
      <u/>
      <sz val="12"/>
      <color theme="1"/>
      <name val="Calibri"/>
      <scheme val="minor"/>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9"/>
        <bgColor indexed="0"/>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right/>
      <top style="thin">
        <color auto="1"/>
      </top>
      <bottom style="medium">
        <color auto="1"/>
      </bottom>
      <diagonal/>
    </border>
    <border>
      <left/>
      <right/>
      <top style="thin">
        <color auto="1"/>
      </top>
      <bottom style="double">
        <color auto="1"/>
      </bottom>
      <diagonal/>
    </border>
    <border>
      <left/>
      <right/>
      <top style="thin">
        <color auto="1"/>
      </top>
      <bottom style="thin">
        <color auto="1"/>
      </bottom>
      <diagonal/>
    </border>
    <border>
      <left/>
      <right/>
      <top/>
      <bottom style="double">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rgb="FFDC4405"/>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cellStyleXfs>
  <cellXfs count="143">
    <xf numFmtId="0" fontId="0" fillId="0" borderId="0" xfId="0"/>
    <xf numFmtId="0" fontId="4" fillId="3" borderId="0" xfId="0" applyFont="1" applyFill="1" applyAlignment="1">
      <alignment horizontal="center"/>
    </xf>
    <xf numFmtId="0" fontId="0" fillId="0" borderId="0" xfId="0" applyFont="1"/>
    <xf numFmtId="14" fontId="5" fillId="0" borderId="1" xfId="0" applyNumberFormat="1" applyFont="1" applyFill="1" applyBorder="1" applyAlignment="1">
      <alignment horizontal="center"/>
    </xf>
    <xf numFmtId="14" fontId="5" fillId="4" borderId="1" xfId="0" applyNumberFormat="1" applyFont="1" applyFill="1" applyBorder="1" applyAlignment="1">
      <alignment horizontal="center"/>
    </xf>
    <xf numFmtId="14" fontId="5" fillId="5" borderId="1" xfId="0" applyNumberFormat="1" applyFont="1" applyFill="1" applyBorder="1" applyAlignment="1">
      <alignment horizontal="center"/>
    </xf>
    <xf numFmtId="14" fontId="5" fillId="0" borderId="0" xfId="0" applyNumberFormat="1" applyFont="1" applyFill="1" applyBorder="1" applyAlignment="1">
      <alignment horizontal="center"/>
    </xf>
    <xf numFmtId="14" fontId="5" fillId="4" borderId="0" xfId="0" applyNumberFormat="1" applyFont="1" applyFill="1" applyBorder="1" applyAlignment="1">
      <alignment horizontal="center"/>
    </xf>
    <xf numFmtId="14" fontId="5" fillId="5" borderId="0" xfId="0" applyNumberFormat="1" applyFont="1" applyFill="1" applyBorder="1" applyAlignment="1">
      <alignment horizontal="center"/>
    </xf>
    <xf numFmtId="0" fontId="6" fillId="0" borderId="0" xfId="3" applyFont="1" applyFill="1" applyBorder="1"/>
    <xf numFmtId="164" fontId="0" fillId="0" borderId="0" xfId="2" applyNumberFormat="1" applyFont="1"/>
    <xf numFmtId="10" fontId="0" fillId="0" borderId="0" xfId="2" applyNumberFormat="1" applyFont="1"/>
    <xf numFmtId="10" fontId="0" fillId="0" borderId="0" xfId="0" applyNumberFormat="1"/>
    <xf numFmtId="166" fontId="0" fillId="0" borderId="0" xfId="0" applyNumberFormat="1"/>
    <xf numFmtId="0" fontId="4" fillId="2" borderId="0" xfId="0" applyFont="1" applyFill="1" applyAlignment="1"/>
    <xf numFmtId="165" fontId="0" fillId="0" borderId="0" xfId="1" applyNumberFormat="1" applyFont="1"/>
    <xf numFmtId="0" fontId="8" fillId="6" borderId="2" xfId="0" applyFont="1" applyFill="1" applyBorder="1" applyAlignment="1" applyProtection="1">
      <alignment vertical="top" wrapText="1" readingOrder="1"/>
      <protection locked="0"/>
    </xf>
    <xf numFmtId="0" fontId="9" fillId="0" borderId="0" xfId="0" applyFont="1"/>
    <xf numFmtId="0" fontId="9" fillId="0" borderId="0" xfId="3" applyFont="1" applyBorder="1"/>
    <xf numFmtId="0" fontId="9" fillId="0" borderId="0" xfId="3" applyFont="1" applyFill="1" applyBorder="1"/>
    <xf numFmtId="0" fontId="4" fillId="0" borderId="0" xfId="0" applyFont="1"/>
    <xf numFmtId="165" fontId="4" fillId="0" borderId="0" xfId="1" applyNumberFormat="1" applyFont="1"/>
    <xf numFmtId="165" fontId="2" fillId="0" borderId="0" xfId="1" applyNumberFormat="1" applyFont="1"/>
    <xf numFmtId="0" fontId="0" fillId="0" borderId="0" xfId="0" applyAlignment="1">
      <alignment horizontal="center"/>
    </xf>
    <xf numFmtId="0" fontId="0" fillId="0" borderId="3" xfId="0" applyBorder="1" applyAlignment="1">
      <alignment wrapText="1"/>
    </xf>
    <xf numFmtId="0" fontId="0" fillId="0" borderId="3" xfId="0" applyBorder="1" applyAlignment="1">
      <alignment horizontal="center" wrapText="1"/>
    </xf>
    <xf numFmtId="0" fontId="0" fillId="0" borderId="3" xfId="0" applyBorder="1"/>
    <xf numFmtId="0" fontId="0" fillId="0" borderId="0" xfId="0" applyFill="1" applyBorder="1" applyAlignment="1">
      <alignment horizontal="center" wrapText="1"/>
    </xf>
    <xf numFmtId="0" fontId="0" fillId="0" borderId="3" xfId="0" applyFill="1" applyBorder="1" applyAlignment="1">
      <alignment horizontal="center" wrapText="1"/>
    </xf>
    <xf numFmtId="0" fontId="0" fillId="3" borderId="3" xfId="0" applyFill="1" applyBorder="1"/>
    <xf numFmtId="0" fontId="10" fillId="3" borderId="3" xfId="0" applyFont="1" applyFill="1" applyBorder="1" applyAlignment="1">
      <alignment horizontal="center" wrapText="1"/>
    </xf>
    <xf numFmtId="0" fontId="11" fillId="0" borderId="0" xfId="0" applyFont="1" applyAlignment="1">
      <alignment horizontal="left" indent="2"/>
    </xf>
    <xf numFmtId="165" fontId="10" fillId="0" borderId="0" xfId="1" applyNumberFormat="1" applyFont="1"/>
    <xf numFmtId="165" fontId="10" fillId="0" borderId="0" xfId="0" applyNumberFormat="1" applyFont="1"/>
    <xf numFmtId="165" fontId="13" fillId="0" borderId="0" xfId="1" applyNumberFormat="1" applyFont="1" applyFill="1" applyBorder="1"/>
    <xf numFmtId="0" fontId="11" fillId="0" borderId="0" xfId="0" applyFont="1" applyBorder="1" applyAlignment="1">
      <alignment horizontal="left" indent="2"/>
    </xf>
    <xf numFmtId="165" fontId="11" fillId="0" borderId="0" xfId="1" applyNumberFormat="1" applyFont="1" applyBorder="1"/>
    <xf numFmtId="165" fontId="14" fillId="0" borderId="0" xfId="1" applyNumberFormat="1" applyFont="1" applyBorder="1"/>
    <xf numFmtId="0" fontId="11" fillId="0" borderId="0" xfId="0" applyFont="1" applyBorder="1"/>
    <xf numFmtId="10" fontId="10" fillId="0" borderId="0" xfId="0" applyNumberFormat="1" applyFont="1"/>
    <xf numFmtId="0" fontId="11" fillId="0" borderId="0" xfId="0" applyFont="1"/>
    <xf numFmtId="0" fontId="10" fillId="0" borderId="0" xfId="0" applyFont="1"/>
    <xf numFmtId="0" fontId="14" fillId="0" borderId="4" xfId="0" applyFont="1" applyBorder="1" applyAlignment="1">
      <alignment horizontal="left" indent="2"/>
    </xf>
    <xf numFmtId="165" fontId="14" fillId="0" borderId="4" xfId="0" applyNumberFormat="1" applyFont="1" applyBorder="1"/>
    <xf numFmtId="0" fontId="10" fillId="0" borderId="5" xfId="0" applyFont="1" applyBorder="1"/>
    <xf numFmtId="0" fontId="10" fillId="0" borderId="5" xfId="0" applyFont="1" applyBorder="1" applyAlignment="1">
      <alignment horizontal="center"/>
    </xf>
    <xf numFmtId="0" fontId="0" fillId="0" borderId="5" xfId="0" applyBorder="1"/>
    <xf numFmtId="0" fontId="10" fillId="0" borderId="5" xfId="0" applyFont="1" applyFill="1" applyBorder="1" applyAlignment="1">
      <alignment horizontal="center"/>
    </xf>
    <xf numFmtId="0" fontId="15" fillId="0" borderId="0" xfId="0" applyFont="1"/>
    <xf numFmtId="0" fontId="10" fillId="0" borderId="0" xfId="0" applyFont="1" applyAlignment="1">
      <alignment horizontal="left" indent="2"/>
    </xf>
    <xf numFmtId="0" fontId="15" fillId="0" borderId="0" xfId="0" applyFont="1" applyAlignment="1">
      <alignment horizontal="left" indent="3"/>
    </xf>
    <xf numFmtId="10" fontId="15" fillId="0" borderId="0" xfId="0" applyNumberFormat="1" applyFont="1"/>
    <xf numFmtId="43" fontId="10" fillId="0" borderId="0" xfId="1" applyFont="1"/>
    <xf numFmtId="43" fontId="0" fillId="0" borderId="0" xfId="0" applyNumberFormat="1"/>
    <xf numFmtId="0" fontId="15" fillId="0" borderId="6" xfId="0" applyFont="1" applyBorder="1" applyAlignment="1">
      <alignment horizontal="left" indent="3"/>
    </xf>
    <xf numFmtId="43" fontId="15" fillId="0" borderId="6" xfId="1" applyFont="1" applyBorder="1"/>
    <xf numFmtId="43" fontId="10" fillId="0" borderId="6" xfId="1" applyFont="1" applyBorder="1"/>
    <xf numFmtId="0" fontId="10" fillId="0" borderId="0" xfId="0" applyFont="1" applyAlignment="1">
      <alignment horizontal="center"/>
    </xf>
    <xf numFmtId="6" fontId="10" fillId="0" borderId="0" xfId="0" applyNumberFormat="1" applyFont="1" applyAlignment="1">
      <alignment horizontal="center"/>
    </xf>
    <xf numFmtId="164" fontId="10" fillId="0" borderId="0" xfId="2" applyNumberFormat="1" applyFont="1" applyAlignment="1">
      <alignment horizontal="center"/>
    </xf>
    <xf numFmtId="8" fontId="10" fillId="0" borderId="0" xfId="0" applyNumberFormat="1" applyFont="1" applyAlignment="1">
      <alignment horizontal="center"/>
    </xf>
    <xf numFmtId="6" fontId="10" fillId="0" borderId="6" xfId="0" applyNumberFormat="1"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vertical="center"/>
    </xf>
    <xf numFmtId="0" fontId="10" fillId="0" borderId="0" xfId="0" applyFont="1" applyBorder="1" applyAlignment="1">
      <alignment horizontal="left" vertical="center" indent="1"/>
    </xf>
    <xf numFmtId="10" fontId="10" fillId="0" borderId="0" xfId="2" applyNumberFormat="1" applyFont="1" applyBorder="1" applyAlignment="1">
      <alignment horizontal="left"/>
    </xf>
    <xf numFmtId="0" fontId="0" fillId="0" borderId="0" xfId="0" applyBorder="1"/>
    <xf numFmtId="164" fontId="10" fillId="0" borderId="0" xfId="0" applyNumberFormat="1" applyFont="1" applyBorder="1"/>
    <xf numFmtId="0" fontId="13" fillId="0" borderId="6" xfId="0" applyFont="1" applyFill="1" applyBorder="1" applyAlignment="1">
      <alignment horizontal="left" vertical="center" indent="1"/>
    </xf>
    <xf numFmtId="0" fontId="9" fillId="0" borderId="6" xfId="0" applyFont="1" applyBorder="1" applyAlignment="1">
      <alignment wrapText="1"/>
    </xf>
    <xf numFmtId="0" fontId="0" fillId="0" borderId="6" xfId="0" applyBorder="1"/>
    <xf numFmtId="164" fontId="10" fillId="0" borderId="6" xfId="0" applyNumberFormat="1" applyFont="1" applyBorder="1"/>
    <xf numFmtId="0" fontId="0" fillId="0" borderId="3" xfId="0" applyBorder="1" applyAlignment="1">
      <alignment horizontal="center" vertical="center"/>
    </xf>
    <xf numFmtId="10" fontId="10" fillId="4" borderId="0" xfId="2" applyNumberFormat="1" applyFont="1" applyFill="1"/>
    <xf numFmtId="10" fontId="10" fillId="4" borderId="0" xfId="2" applyNumberFormat="1" applyFont="1" applyFill="1" applyBorder="1"/>
    <xf numFmtId="0" fontId="10" fillId="4" borderId="0" xfId="0" applyFont="1" applyFill="1" applyBorder="1"/>
    <xf numFmtId="10" fontId="10" fillId="4" borderId="0" xfId="0" applyNumberFormat="1" applyFont="1" applyFill="1"/>
    <xf numFmtId="0" fontId="10" fillId="4" borderId="0" xfId="0" applyFont="1" applyFill="1"/>
    <xf numFmtId="0" fontId="0" fillId="0" borderId="4" xfId="0" applyBorder="1" applyAlignment="1">
      <alignment horizontal="center"/>
    </xf>
    <xf numFmtId="10" fontId="10" fillId="4" borderId="4" xfId="0" applyNumberFormat="1" applyFont="1" applyFill="1" applyBorder="1"/>
    <xf numFmtId="10" fontId="0" fillId="0" borderId="4" xfId="2" applyNumberFormat="1" applyFont="1" applyBorder="1"/>
    <xf numFmtId="0" fontId="16" fillId="0" borderId="0" xfId="0" applyFont="1"/>
    <xf numFmtId="0" fontId="16" fillId="0" borderId="0" xfId="0" applyFont="1" applyAlignment="1">
      <alignment wrapText="1"/>
    </xf>
    <xf numFmtId="42" fontId="16" fillId="0" borderId="0" xfId="4" applyNumberFormat="1" applyFont="1"/>
    <xf numFmtId="41" fontId="16" fillId="0" borderId="0" xfId="4" applyNumberFormat="1" applyFont="1"/>
    <xf numFmtId="41" fontId="16" fillId="0" borderId="7" xfId="4" applyNumberFormat="1" applyFont="1" applyBorder="1"/>
    <xf numFmtId="41" fontId="18" fillId="0" borderId="3" xfId="0" applyNumberFormat="1" applyFont="1" applyFill="1" applyBorder="1"/>
    <xf numFmtId="0" fontId="10" fillId="0" borderId="0" xfId="0" applyFont="1" applyAlignment="1">
      <alignment horizontal="left" indent="1"/>
    </xf>
    <xf numFmtId="0" fontId="15" fillId="0" borderId="0" xfId="0" applyFont="1" applyAlignment="1">
      <alignment horizontal="left" indent="1"/>
    </xf>
    <xf numFmtId="42" fontId="0" fillId="0" borderId="0" xfId="0" applyNumberFormat="1"/>
    <xf numFmtId="41" fontId="16" fillId="0" borderId="0" xfId="0" applyNumberFormat="1" applyFont="1"/>
    <xf numFmtId="41" fontId="16" fillId="0" borderId="7" xfId="0" applyNumberFormat="1" applyFont="1" applyBorder="1"/>
    <xf numFmtId="0" fontId="0" fillId="5" borderId="0" xfId="0" applyFill="1"/>
    <xf numFmtId="165" fontId="0" fillId="5" borderId="0" xfId="1" applyNumberFormat="1" applyFont="1" applyFill="1"/>
    <xf numFmtId="164" fontId="0" fillId="5" borderId="0" xfId="2" applyNumberFormat="1" applyFont="1" applyFill="1"/>
    <xf numFmtId="165" fontId="0" fillId="5" borderId="0" xfId="0" applyNumberFormat="1" applyFill="1"/>
    <xf numFmtId="168" fontId="0" fillId="0" borderId="0" xfId="0" applyNumberFormat="1"/>
    <xf numFmtId="0" fontId="0" fillId="0" borderId="5" xfId="0" applyBorder="1" applyAlignment="1">
      <alignment horizontal="right" wrapText="1"/>
    </xf>
    <xf numFmtId="170" fontId="16" fillId="0" borderId="0" xfId="4" applyNumberFormat="1" applyFont="1" applyFill="1"/>
    <xf numFmtId="169" fontId="9" fillId="0" borderId="0" xfId="0" applyNumberFormat="1" applyFont="1"/>
    <xf numFmtId="41" fontId="9" fillId="0" borderId="0" xfId="0" applyNumberFormat="1" applyFont="1"/>
    <xf numFmtId="165" fontId="9" fillId="0" borderId="0" xfId="1" applyNumberFormat="1" applyFont="1"/>
    <xf numFmtId="0" fontId="19" fillId="0" borderId="0" xfId="0" applyFont="1"/>
    <xf numFmtId="10" fontId="9" fillId="4" borderId="4" xfId="0" applyNumberFormat="1" applyFont="1" applyFill="1" applyBorder="1"/>
    <xf numFmtId="10" fontId="9" fillId="5" borderId="4" xfId="0" applyNumberFormat="1" applyFont="1" applyFill="1" applyBorder="1"/>
    <xf numFmtId="167" fontId="9" fillId="0" borderId="0" xfId="0" applyNumberFormat="1" applyFont="1"/>
    <xf numFmtId="41" fontId="19" fillId="0" borderId="0" xfId="0" applyNumberFormat="1" applyFont="1"/>
    <xf numFmtId="165" fontId="20" fillId="0" borderId="0" xfId="1" applyNumberFormat="1" applyFont="1" applyFill="1" applyBorder="1"/>
    <xf numFmtId="165" fontId="9" fillId="0" borderId="0" xfId="0" applyNumberFormat="1" applyFont="1"/>
    <xf numFmtId="164" fontId="9" fillId="0" borderId="0" xfId="2" applyNumberFormat="1" applyFont="1"/>
    <xf numFmtId="169" fontId="9" fillId="7" borderId="0" xfId="0" applyNumberFormat="1" applyFont="1" applyFill="1"/>
    <xf numFmtId="0" fontId="0" fillId="0" borderId="8" xfId="0" applyBorder="1"/>
    <xf numFmtId="164" fontId="0" fillId="0" borderId="0" xfId="0" applyNumberFormat="1" applyFont="1"/>
    <xf numFmtId="164" fontId="1" fillId="0" borderId="0" xfId="2" applyNumberFormat="1" applyFont="1"/>
    <xf numFmtId="164" fontId="9" fillId="0" borderId="0" xfId="0" applyNumberFormat="1" applyFont="1"/>
    <xf numFmtId="0" fontId="0" fillId="0" borderId="10" xfId="0" applyBorder="1"/>
    <xf numFmtId="0" fontId="0" fillId="0" borderId="11" xfId="0" applyBorder="1"/>
    <xf numFmtId="49" fontId="18" fillId="0" borderId="13" xfId="0" applyNumberFormat="1" applyFont="1" applyBorder="1" applyAlignment="1">
      <alignment horizontal="center"/>
    </xf>
    <xf numFmtId="0" fontId="18" fillId="0" borderId="0" xfId="0" applyFont="1"/>
    <xf numFmtId="0" fontId="16" fillId="0" borderId="0" xfId="0" applyFont="1" applyBorder="1"/>
    <xf numFmtId="42" fontId="16" fillId="0" borderId="0" xfId="0" applyNumberFormat="1" applyFont="1"/>
    <xf numFmtId="41" fontId="16" fillId="0" borderId="0" xfId="0" applyNumberFormat="1" applyFont="1" applyBorder="1"/>
    <xf numFmtId="0" fontId="18" fillId="0" borderId="0" xfId="0" applyFont="1" applyAlignment="1">
      <alignment horizontal="left" indent="1"/>
    </xf>
    <xf numFmtId="41" fontId="18" fillId="0" borderId="3" xfId="0" applyNumberFormat="1" applyFont="1" applyBorder="1"/>
    <xf numFmtId="41" fontId="18" fillId="0" borderId="5" xfId="0" applyNumberFormat="1" applyFont="1" applyBorder="1"/>
    <xf numFmtId="0" fontId="18" fillId="0" borderId="0" xfId="0" applyFont="1" applyAlignment="1">
      <alignment horizontal="left"/>
    </xf>
    <xf numFmtId="0" fontId="16" fillId="0" borderId="0" xfId="0" applyFont="1" applyAlignment="1">
      <alignment horizontal="left" indent="1"/>
    </xf>
    <xf numFmtId="41" fontId="18" fillId="0" borderId="7" xfId="0" applyNumberFormat="1" applyFont="1" applyBorder="1"/>
    <xf numFmtId="0" fontId="16" fillId="0" borderId="0" xfId="0" applyFont="1" applyBorder="1" applyAlignment="1">
      <alignment horizontal="left"/>
    </xf>
    <xf numFmtId="42" fontId="18" fillId="0" borderId="4" xfId="0" applyNumberFormat="1" applyFont="1" applyBorder="1"/>
    <xf numFmtId="9" fontId="0" fillId="0" borderId="0" xfId="0" applyNumberFormat="1"/>
    <xf numFmtId="169" fontId="0" fillId="0" borderId="0" xfId="0" applyNumberFormat="1"/>
    <xf numFmtId="165" fontId="0" fillId="0" borderId="0" xfId="0" applyNumberFormat="1"/>
    <xf numFmtId="10" fontId="16" fillId="0" borderId="0" xfId="2" applyNumberFormat="1" applyFont="1"/>
    <xf numFmtId="0" fontId="0" fillId="7" borderId="9" xfId="0" applyFill="1" applyBorder="1"/>
    <xf numFmtId="0" fontId="0" fillId="7" borderId="12" xfId="0" applyFill="1" applyBorder="1"/>
    <xf numFmtId="0" fontId="0" fillId="0" borderId="0" xfId="0" applyAlignment="1">
      <alignment vertical="center"/>
    </xf>
    <xf numFmtId="0" fontId="21"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wrapText="1"/>
    </xf>
    <xf numFmtId="0" fontId="4" fillId="0" borderId="0" xfId="0" applyFont="1" applyAlignment="1">
      <alignment horizontal="left" vertical="center" wrapText="1"/>
    </xf>
    <xf numFmtId="0" fontId="10" fillId="0" borderId="5" xfId="0" applyFont="1" applyBorder="1" applyAlignment="1">
      <alignment horizontal="center" vertical="center" wrapText="1"/>
    </xf>
    <xf numFmtId="0" fontId="18" fillId="0" borderId="13" xfId="0" applyFont="1" applyBorder="1" applyAlignment="1">
      <alignment horizontal="left"/>
    </xf>
  </cellXfs>
  <cellStyles count="5">
    <cellStyle name="Comma" xfId="1" builtinId="3"/>
    <cellStyle name="Normal" xfId="0" builtinId="0"/>
    <cellStyle name="Normal 10" xfId="4"/>
    <cellStyle name="Normal 8" xfId="3"/>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Corvallis E&amp;G Revenue and</a:t>
            </a:r>
            <a:r>
              <a:rPr lang="en-US" baseline="0"/>
              <a:t> Expense</a:t>
            </a:r>
          </a:p>
          <a:p>
            <a:pPr>
              <a:defRPr/>
            </a:pPr>
            <a:endParaRPr lang="en-US"/>
          </a:p>
        </c:rich>
      </c:tx>
      <c:layout>
        <c:manualLayout>
          <c:xMode val="edge"/>
          <c:yMode val="edge"/>
          <c:x val="0.26092773403324598"/>
          <c:y val="3.975535168195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'Expense Revenue Model'!$A$39</c:f>
              <c:strCache>
                <c:ptCount val="1"/>
                <c:pt idx="0">
                  <c:v>Expenditures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'Expense Revenue Model'!$B$38:$O$38</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Model'!$B$39:$O$39</c:f>
              <c:numCache>
                <c:formatCode>_(* #,##0_);_(* \(#,##0\);_(* "-"??_);_(@_)</c:formatCode>
                <c:ptCount val="14"/>
                <c:pt idx="0" formatCode="_(* #,##0_);_(* \(#,##0\);_(* &quot;-&quot;_);_(@_)">
                  <c:v>479170607</c:v>
                </c:pt>
                <c:pt idx="1">
                  <c:v>505568523</c:v>
                </c:pt>
                <c:pt idx="2">
                  <c:v>541322632.3582226</c:v>
                </c:pt>
                <c:pt idx="3">
                  <c:v>576557878.84056795</c:v>
                </c:pt>
                <c:pt idx="4">
                  <c:v>617390590.61256468</c:v>
                </c:pt>
                <c:pt idx="5">
                  <c:v>652486567.19599092</c:v>
                </c:pt>
                <c:pt idx="6">
                  <c:v>693187392.73732281</c:v>
                </c:pt>
                <c:pt idx="7">
                  <c:v>726000357.34629273</c:v>
                </c:pt>
                <c:pt idx="8">
                  <c:v>759340654.3776356</c:v>
                </c:pt>
                <c:pt idx="9">
                  <c:v>793710371.42061102</c:v>
                </c:pt>
                <c:pt idx="10">
                  <c:v>824272304.81564331</c:v>
                </c:pt>
                <c:pt idx="11">
                  <c:v>855980386.53671086</c:v>
                </c:pt>
                <c:pt idx="12">
                  <c:v>889128409.34349895</c:v>
                </c:pt>
                <c:pt idx="13">
                  <c:v>923798618.25407279</c:v>
                </c:pt>
              </c:numCache>
            </c:numRef>
          </c:val>
          <c:smooth val="0"/>
          <c:extLst>
            <c:ext xmlns:c16="http://schemas.microsoft.com/office/drawing/2014/chart" uri="{C3380CC4-5D6E-409C-BE32-E72D297353CC}">
              <c16:uniqueId val="{00000000-C12B-439B-B776-F423498F1EFF}"/>
            </c:ext>
          </c:extLst>
        </c:ser>
        <c:ser>
          <c:idx val="1"/>
          <c:order val="1"/>
          <c:tx>
            <c:strRef>
              <c:f>'Expense Revenue Model'!$A$40</c:f>
              <c:strCache>
                <c:ptCount val="1"/>
                <c:pt idx="0">
                  <c:v>Revenues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'Expense Revenue Model'!$B$38:$O$38</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Model'!$B$40:$O$40</c:f>
              <c:numCache>
                <c:formatCode>_(* #,##0_);_(* \(#,##0\);_(* "-"??_);_(@_)</c:formatCode>
                <c:ptCount val="14"/>
                <c:pt idx="0" formatCode="_(* #,##0_);_(* \(#,##0\);_(* &quot;-&quot;_);_(@_)">
                  <c:v>500540241</c:v>
                </c:pt>
                <c:pt idx="1">
                  <c:v>519700543.34000003</c:v>
                </c:pt>
                <c:pt idx="2">
                  <c:v>553011959</c:v>
                </c:pt>
                <c:pt idx="3">
                  <c:v>585892880.64244854</c:v>
                </c:pt>
                <c:pt idx="4">
                  <c:v>617380858.44034457</c:v>
                </c:pt>
                <c:pt idx="5">
                  <c:v>650134051.82453632</c:v>
                </c:pt>
                <c:pt idx="6">
                  <c:v>683906834.91486073</c:v>
                </c:pt>
                <c:pt idx="7">
                  <c:v>718051625.32730019</c:v>
                </c:pt>
                <c:pt idx="8">
                  <c:v>753290270.83947241</c:v>
                </c:pt>
                <c:pt idx="9">
                  <c:v>790428186.08224893</c:v>
                </c:pt>
                <c:pt idx="10">
                  <c:v>825560593.35594642</c:v>
                </c:pt>
                <c:pt idx="11">
                  <c:v>862622174.56323016</c:v>
                </c:pt>
                <c:pt idx="12">
                  <c:v>902096518.37934279</c:v>
                </c:pt>
                <c:pt idx="13">
                  <c:v>944174964.25836527</c:v>
                </c:pt>
              </c:numCache>
            </c:numRef>
          </c:val>
          <c:smooth val="0"/>
          <c:extLst>
            <c:ext xmlns:c16="http://schemas.microsoft.com/office/drawing/2014/chart" uri="{C3380CC4-5D6E-409C-BE32-E72D297353CC}">
              <c16:uniqueId val="{00000001-C12B-439B-B776-F423498F1EFF}"/>
            </c:ext>
          </c:extLst>
        </c:ser>
        <c:dLbls>
          <c:showLegendKey val="0"/>
          <c:showVal val="0"/>
          <c:showCatName val="0"/>
          <c:showSerName val="0"/>
          <c:showPercent val="0"/>
          <c:showBubbleSize val="0"/>
        </c:dLbls>
        <c:marker val="1"/>
        <c:smooth val="0"/>
        <c:axId val="-2084078896"/>
        <c:axId val="-2107870384"/>
      </c:lineChart>
      <c:catAx>
        <c:axId val="-208407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870384"/>
        <c:crosses val="autoZero"/>
        <c:auto val="1"/>
        <c:lblAlgn val="ctr"/>
        <c:lblOffset val="100"/>
        <c:noMultiLvlLbl val="0"/>
      </c:catAx>
      <c:valAx>
        <c:axId val="-21078703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4078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Corvallis E&amp;G Fund Balance</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'Expense Revenue Model'!$A$42</c:f>
              <c:strCache>
                <c:ptCount val="1"/>
                <c:pt idx="0">
                  <c:v>Cuts to balance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'Expense Revenue Model'!$B$38:$O$38</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Model'!$B$42:$O$42</c:f>
              <c:numCache>
                <c:formatCode>_(* #,##0_);_(* \(#,##0\);_(* "-"??_);_(@_)</c:formatCode>
                <c:ptCount val="14"/>
                <c:pt idx="0" formatCode="General">
                  <c:v>0</c:v>
                </c:pt>
                <c:pt idx="1">
                  <c:v>0</c:v>
                </c:pt>
                <c:pt idx="2">
                  <c:v>0</c:v>
                </c:pt>
                <c:pt idx="3">
                  <c:v>0</c:v>
                </c:pt>
                <c:pt idx="4">
                  <c:v>-9732.1722201108932</c:v>
                </c:pt>
                <c:pt idx="5">
                  <c:v>-2352515.3714545965</c:v>
                </c:pt>
                <c:pt idx="6">
                  <c:v>-9280557.8224620819</c:v>
                </c:pt>
                <c:pt idx="7">
                  <c:v>-7948732.0189925432</c:v>
                </c:pt>
                <c:pt idx="8">
                  <c:v>-6050383.5381631851</c:v>
                </c:pt>
                <c:pt idx="9">
                  <c:v>-3282185.3383620977</c:v>
                </c:pt>
                <c:pt idx="10">
                  <c:v>0</c:v>
                </c:pt>
                <c:pt idx="11">
                  <c:v>0</c:v>
                </c:pt>
                <c:pt idx="12">
                  <c:v>0</c:v>
                </c:pt>
                <c:pt idx="13">
                  <c:v>0</c:v>
                </c:pt>
              </c:numCache>
            </c:numRef>
          </c:val>
          <c:smooth val="0"/>
          <c:extLst>
            <c:ext xmlns:c16="http://schemas.microsoft.com/office/drawing/2014/chart" uri="{C3380CC4-5D6E-409C-BE32-E72D297353CC}">
              <c16:uniqueId val="{00000000-CEFE-45CC-BBC9-BF4AE8509697}"/>
            </c:ext>
          </c:extLst>
        </c:ser>
        <c:dLbls>
          <c:showLegendKey val="0"/>
          <c:showVal val="0"/>
          <c:showCatName val="0"/>
          <c:showSerName val="0"/>
          <c:showPercent val="0"/>
          <c:showBubbleSize val="0"/>
        </c:dLbls>
        <c:marker val="1"/>
        <c:smooth val="0"/>
        <c:axId val="-2066017024"/>
        <c:axId val="-2113275088"/>
      </c:lineChart>
      <c:lineChart>
        <c:grouping val="standard"/>
        <c:varyColors val="0"/>
        <c:ser>
          <c:idx val="0"/>
          <c:order val="0"/>
          <c:tx>
            <c:strRef>
              <c:f>'Expense Revenue Model'!$A$41</c:f>
              <c:strCache>
                <c:ptCount val="1"/>
                <c:pt idx="0">
                  <c:v>Fund balance without cuts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'Expense Revenue Model'!$B$38:$O$38</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Model'!$B$41:$O$41</c:f>
              <c:numCache>
                <c:formatCode>0.0%</c:formatCode>
                <c:ptCount val="14"/>
                <c:pt idx="0">
                  <c:v>0.13290944973193475</c:v>
                </c:pt>
                <c:pt idx="1">
                  <c:v>0.15520197039169029</c:v>
                </c:pt>
                <c:pt idx="2">
                  <c:v>0.16624432228598521</c:v>
                </c:pt>
                <c:pt idx="3">
                  <c:v>0.17284746664071943</c:v>
                </c:pt>
                <c:pt idx="4">
                  <c:v>0.16401604712117093</c:v>
                </c:pt>
                <c:pt idx="5">
                  <c:v>0.15213455182147576</c:v>
                </c:pt>
                <c:pt idx="6">
                  <c:v>0.13105190678040454</c:v>
                </c:pt>
                <c:pt idx="7">
                  <c:v>0.11375026512825009</c:v>
                </c:pt>
                <c:pt idx="8">
                  <c:v>0.10039712730433581</c:v>
                </c:pt>
                <c:pt idx="9">
                  <c:v>9.1527598780109756E-2</c:v>
                </c:pt>
                <c:pt idx="10">
                  <c:v>8.9193068338208795E-2</c:v>
                </c:pt>
                <c:pt idx="11">
                  <c:v>9.306052268792471E-2</c:v>
                </c:pt>
                <c:pt idx="12">
                  <c:v>0.10336386138637323</c:v>
                </c:pt>
                <c:pt idx="13">
                  <c:v>0.12033842220804056</c:v>
                </c:pt>
              </c:numCache>
            </c:numRef>
          </c:val>
          <c:smooth val="0"/>
          <c:extLst>
            <c:ext xmlns:c16="http://schemas.microsoft.com/office/drawing/2014/chart" uri="{C3380CC4-5D6E-409C-BE32-E72D297353CC}">
              <c16:uniqueId val="{00000001-CEFE-45CC-BBC9-BF4AE8509697}"/>
            </c:ext>
          </c:extLst>
        </c:ser>
        <c:dLbls>
          <c:showLegendKey val="0"/>
          <c:showVal val="0"/>
          <c:showCatName val="0"/>
          <c:showSerName val="0"/>
          <c:showPercent val="0"/>
          <c:showBubbleSize val="0"/>
        </c:dLbls>
        <c:marker val="1"/>
        <c:smooth val="0"/>
        <c:axId val="-2066340624"/>
        <c:axId val="-2066543728"/>
      </c:lineChart>
      <c:catAx>
        <c:axId val="-206601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3275088"/>
        <c:crosses val="autoZero"/>
        <c:auto val="1"/>
        <c:lblAlgn val="ctr"/>
        <c:lblOffset val="100"/>
        <c:noMultiLvlLbl val="0"/>
      </c:catAx>
      <c:valAx>
        <c:axId val="-21132750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6017024"/>
        <c:crosses val="autoZero"/>
        <c:crossBetween val="between"/>
      </c:valAx>
      <c:valAx>
        <c:axId val="-206654372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6340624"/>
        <c:crosses val="max"/>
        <c:crossBetween val="between"/>
      </c:valAx>
      <c:catAx>
        <c:axId val="-2066340624"/>
        <c:scaling>
          <c:orientation val="minMax"/>
        </c:scaling>
        <c:delete val="1"/>
        <c:axPos val="b"/>
        <c:numFmt formatCode="General" sourceLinked="1"/>
        <c:majorTickMark val="out"/>
        <c:minorTickMark val="none"/>
        <c:tickLblPos val="nextTo"/>
        <c:crossAx val="-206654372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'Expense Revenue Model'!$A$122</c:f>
              <c:strCache>
                <c:ptCount val="1"/>
                <c:pt idx="0">
                  <c:v>Undergraduate tuition and fees</c:v>
                </c:pt>
              </c:strCache>
            </c:strRef>
          </c:tx>
          <c:spPr>
            <a:solidFill>
              <a:schemeClr val="accent1"/>
            </a:solidFill>
            <a:ln>
              <a:noFill/>
            </a:ln>
            <a:effectLst/>
          </c:spPr>
          <c:invertIfNegative val="0"/>
          <c:cat>
            <c:strRef>
              <c:f>'Expense Revenue Model'!$B$121:$O$121</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Model'!$B$122:$O$122</c:f>
              <c:numCache>
                <c:formatCode>0.0%</c:formatCode>
                <c:ptCount val="14"/>
                <c:pt idx="0">
                  <c:v>0.59556474229611434</c:v>
                </c:pt>
                <c:pt idx="1">
                  <c:v>0.60083652141905797</c:v>
                </c:pt>
                <c:pt idx="2">
                  <c:v>0.61007060890703091</c:v>
                </c:pt>
                <c:pt idx="3">
                  <c:v>0.61830744187676934</c:v>
                </c:pt>
                <c:pt idx="4">
                  <c:v>0.62587711756574338</c:v>
                </c:pt>
                <c:pt idx="5">
                  <c:v>0.63320254627172878</c:v>
                </c:pt>
                <c:pt idx="6">
                  <c:v>0.64079560571270677</c:v>
                </c:pt>
                <c:pt idx="7">
                  <c:v>0.64707553579662502</c:v>
                </c:pt>
                <c:pt idx="8">
                  <c:v>0.65290388044906245</c:v>
                </c:pt>
                <c:pt idx="9">
                  <c:v>0.65870823767239028</c:v>
                </c:pt>
                <c:pt idx="10">
                  <c:v>0.66265561787593319</c:v>
                </c:pt>
                <c:pt idx="11">
                  <c:v>0.66666150632023402</c:v>
                </c:pt>
                <c:pt idx="12">
                  <c:v>0.67083713336181117</c:v>
                </c:pt>
                <c:pt idx="13">
                  <c:v>0.67517913044687861</c:v>
                </c:pt>
              </c:numCache>
            </c:numRef>
          </c:val>
          <c:extLst>
            <c:ext xmlns:c16="http://schemas.microsoft.com/office/drawing/2014/chart" uri="{C3380CC4-5D6E-409C-BE32-E72D297353CC}">
              <c16:uniqueId val="{00000000-1B1E-42F1-8037-62CED6F67F80}"/>
            </c:ext>
          </c:extLst>
        </c:ser>
        <c:ser>
          <c:idx val="1"/>
          <c:order val="1"/>
          <c:tx>
            <c:strRef>
              <c:f>'Expense Revenue Model'!$A$123</c:f>
              <c:strCache>
                <c:ptCount val="1"/>
                <c:pt idx="0">
                  <c:v>Grad and Professional</c:v>
                </c:pt>
              </c:strCache>
            </c:strRef>
          </c:tx>
          <c:spPr>
            <a:solidFill>
              <a:schemeClr val="accent2"/>
            </a:solidFill>
            <a:ln>
              <a:noFill/>
            </a:ln>
            <a:effectLst/>
          </c:spPr>
          <c:invertIfNegative val="0"/>
          <c:cat>
            <c:strRef>
              <c:f>'Expense Revenue Model'!$B$121:$O$121</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Model'!$B$123:$O$123</c:f>
              <c:numCache>
                <c:formatCode>0.0%</c:formatCode>
                <c:ptCount val="14"/>
                <c:pt idx="0">
                  <c:v>6.3871073175113605E-2</c:v>
                </c:pt>
                <c:pt idx="1">
                  <c:v>5.8249835887115978E-2</c:v>
                </c:pt>
                <c:pt idx="2">
                  <c:v>6.2491869981422976E-2</c:v>
                </c:pt>
                <c:pt idx="3">
                  <c:v>6.2209779973155209E-2</c:v>
                </c:pt>
                <c:pt idx="4">
                  <c:v>6.3873409107318369E-2</c:v>
                </c:pt>
                <c:pt idx="5">
                  <c:v>6.531490825729136E-2</c:v>
                </c:pt>
                <c:pt idx="6">
                  <c:v>6.593189071369375E-2</c:v>
                </c:pt>
                <c:pt idx="7">
                  <c:v>6.7087657634224945E-2</c:v>
                </c:pt>
                <c:pt idx="8">
                  <c:v>6.8279077697468563E-2</c:v>
                </c:pt>
                <c:pt idx="9">
                  <c:v>6.937910338288554E-2</c:v>
                </c:pt>
                <c:pt idx="10">
                  <c:v>7.0931403844185753E-2</c:v>
                </c:pt>
                <c:pt idx="11">
                  <c:v>7.2423814934699668E-2</c:v>
                </c:pt>
                <c:pt idx="12">
                  <c:v>7.3843810569839866E-2</c:v>
                </c:pt>
                <c:pt idx="13">
                  <c:v>7.5187196701853212E-2</c:v>
                </c:pt>
              </c:numCache>
            </c:numRef>
          </c:val>
          <c:extLst>
            <c:ext xmlns:c16="http://schemas.microsoft.com/office/drawing/2014/chart" uri="{C3380CC4-5D6E-409C-BE32-E72D297353CC}">
              <c16:uniqueId val="{00000001-1B1E-42F1-8037-62CED6F67F80}"/>
            </c:ext>
          </c:extLst>
        </c:ser>
        <c:ser>
          <c:idx val="2"/>
          <c:order val="2"/>
          <c:tx>
            <c:strRef>
              <c:f>'Expense Revenue Model'!$A$124</c:f>
              <c:strCache>
                <c:ptCount val="1"/>
                <c:pt idx="0">
                  <c:v>State funds</c:v>
                </c:pt>
              </c:strCache>
            </c:strRef>
          </c:tx>
          <c:spPr>
            <a:solidFill>
              <a:schemeClr val="accent3"/>
            </a:solidFill>
            <a:ln>
              <a:noFill/>
            </a:ln>
            <a:effectLst/>
          </c:spPr>
          <c:invertIfNegative val="0"/>
          <c:cat>
            <c:strRef>
              <c:f>'Expense Revenue Model'!$B$121:$O$121</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Model'!$B$124:$O$124</c:f>
              <c:numCache>
                <c:formatCode>0.0%</c:formatCode>
                <c:ptCount val="14"/>
                <c:pt idx="0">
                  <c:v>0.21498596353614655</c:v>
                </c:pt>
                <c:pt idx="1">
                  <c:v>0.21710351814311035</c:v>
                </c:pt>
                <c:pt idx="2">
                  <c:v>0.21391795254105889</c:v>
                </c:pt>
                <c:pt idx="3">
                  <c:v>0.21019107194298561</c:v>
                </c:pt>
                <c:pt idx="4">
                  <c:v>0.20445756815417529</c:v>
                </c:pt>
                <c:pt idx="5">
                  <c:v>0.19901110132916158</c:v>
                </c:pt>
                <c:pt idx="6">
                  <c:v>0.19391309493687195</c:v>
                </c:pt>
                <c:pt idx="7">
                  <c:v>0.18930944306411179</c:v>
                </c:pt>
                <c:pt idx="8">
                  <c:v>0.18496495641549754</c:v>
                </c:pt>
                <c:pt idx="9">
                  <c:v>0.18068132207526252</c:v>
                </c:pt>
                <c:pt idx="10">
                  <c:v>0.1773170874272208</c:v>
                </c:pt>
                <c:pt idx="11">
                  <c:v>0.17394133182612778</c:v>
                </c:pt>
                <c:pt idx="12">
                  <c:v>0.17048817728532928</c:v>
                </c:pt>
                <c:pt idx="13">
                  <c:v>0.16696239245933528</c:v>
                </c:pt>
              </c:numCache>
            </c:numRef>
          </c:val>
          <c:extLst>
            <c:ext xmlns:c16="http://schemas.microsoft.com/office/drawing/2014/chart" uri="{C3380CC4-5D6E-409C-BE32-E72D297353CC}">
              <c16:uniqueId val="{00000002-1B1E-42F1-8037-62CED6F67F80}"/>
            </c:ext>
          </c:extLst>
        </c:ser>
        <c:ser>
          <c:idx val="3"/>
          <c:order val="3"/>
          <c:tx>
            <c:strRef>
              <c:f>'Expense Revenue Model'!$A$125</c:f>
              <c:strCache>
                <c:ptCount val="1"/>
                <c:pt idx="0">
                  <c:v>F&amp;A recovery</c:v>
                </c:pt>
              </c:strCache>
            </c:strRef>
          </c:tx>
          <c:spPr>
            <a:solidFill>
              <a:schemeClr val="accent4"/>
            </a:solidFill>
            <a:ln>
              <a:noFill/>
            </a:ln>
            <a:effectLst/>
          </c:spPr>
          <c:invertIfNegative val="0"/>
          <c:cat>
            <c:strRef>
              <c:f>'Expense Revenue Model'!$B$121:$O$121</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Model'!$B$125:$O$125</c:f>
              <c:numCache>
                <c:formatCode>0.0%</c:formatCode>
                <c:ptCount val="14"/>
                <c:pt idx="0">
                  <c:v>7.8610640617803998E-2</c:v>
                </c:pt>
                <c:pt idx="1">
                  <c:v>7.4935447921057774E-2</c:v>
                </c:pt>
                <c:pt idx="2">
                  <c:v>7.1521057286936543E-2</c:v>
                </c:pt>
                <c:pt idx="3">
                  <c:v>6.8857365113845867E-2</c:v>
                </c:pt>
                <c:pt idx="4">
                  <c:v>6.6652375494690178E-2</c:v>
                </c:pt>
                <c:pt idx="5">
                  <c:v>6.4560375968936309E-2</c:v>
                </c:pt>
                <c:pt idx="6">
                  <c:v>6.2599691371193408E-2</c:v>
                </c:pt>
                <c:pt idx="7">
                  <c:v>6.0815409906302333E-2</c:v>
                </c:pt>
                <c:pt idx="8">
                  <c:v>5.9129896841879852E-2</c:v>
                </c:pt>
                <c:pt idx="9">
                  <c:v>5.7478739152827689E-2</c:v>
                </c:pt>
                <c:pt idx="10">
                  <c:v>5.6133338013411145E-2</c:v>
                </c:pt>
                <c:pt idx="11">
                  <c:v>5.4796065610164625E-2</c:v>
                </c:pt>
                <c:pt idx="12">
                  <c:v>5.3446240305029313E-2</c:v>
                </c:pt>
                <c:pt idx="13">
                  <c:v>5.2085622376413891E-2</c:v>
                </c:pt>
              </c:numCache>
            </c:numRef>
          </c:val>
          <c:extLst>
            <c:ext xmlns:c16="http://schemas.microsoft.com/office/drawing/2014/chart" uri="{C3380CC4-5D6E-409C-BE32-E72D297353CC}">
              <c16:uniqueId val="{00000003-1B1E-42F1-8037-62CED6F67F80}"/>
            </c:ext>
          </c:extLst>
        </c:ser>
        <c:ser>
          <c:idx val="4"/>
          <c:order val="4"/>
          <c:tx>
            <c:strRef>
              <c:f>'Expense Revenue Model'!$A$126</c:f>
              <c:strCache>
                <c:ptCount val="1"/>
                <c:pt idx="0">
                  <c:v>Sales and Service</c:v>
                </c:pt>
              </c:strCache>
            </c:strRef>
          </c:tx>
          <c:spPr>
            <a:solidFill>
              <a:schemeClr val="accent5"/>
            </a:solidFill>
            <a:ln>
              <a:noFill/>
            </a:ln>
            <a:effectLst/>
          </c:spPr>
          <c:invertIfNegative val="0"/>
          <c:cat>
            <c:strRef>
              <c:f>'Expense Revenue Model'!$B$121:$O$121</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Model'!$B$126:$O$126</c:f>
              <c:numCache>
                <c:formatCode>0.0%</c:formatCode>
                <c:ptCount val="14"/>
                <c:pt idx="0">
                  <c:v>3.1274510454395214E-2</c:v>
                </c:pt>
                <c:pt idx="1">
                  <c:v>2.9670715564197429E-2</c:v>
                </c:pt>
                <c:pt idx="2">
                  <c:v>2.7113337706318932E-2</c:v>
                </c:pt>
                <c:pt idx="3">
                  <c:v>2.6103542994463113E-2</c:v>
                </c:pt>
                <c:pt idx="4">
                  <c:v>2.5267640528099326E-2</c:v>
                </c:pt>
                <c:pt idx="5">
                  <c:v>2.4474572139922914E-2</c:v>
                </c:pt>
                <c:pt idx="6">
                  <c:v>2.3731284699122016E-2</c:v>
                </c:pt>
                <c:pt idx="7">
                  <c:v>2.3054870958108244E-2</c:v>
                </c:pt>
                <c:pt idx="8">
                  <c:v>2.2415899910172597E-2</c:v>
                </c:pt>
                <c:pt idx="9">
                  <c:v>2.178995284328222E-2</c:v>
                </c:pt>
                <c:pt idx="10">
                  <c:v>2.1279916822741874E-2</c:v>
                </c:pt>
                <c:pt idx="11">
                  <c:v>2.0772962372542683E-2</c:v>
                </c:pt>
                <c:pt idx="12">
                  <c:v>2.0261249169033407E-2</c:v>
                </c:pt>
                <c:pt idx="13">
                  <c:v>1.974544452649549E-2</c:v>
                </c:pt>
              </c:numCache>
            </c:numRef>
          </c:val>
          <c:extLst>
            <c:ext xmlns:c16="http://schemas.microsoft.com/office/drawing/2014/chart" uri="{C3380CC4-5D6E-409C-BE32-E72D297353CC}">
              <c16:uniqueId val="{00000004-1B1E-42F1-8037-62CED6F67F80}"/>
            </c:ext>
          </c:extLst>
        </c:ser>
        <c:ser>
          <c:idx val="5"/>
          <c:order val="5"/>
          <c:tx>
            <c:strRef>
              <c:f>'Expense Revenue Model'!$A$127</c:f>
              <c:strCache>
                <c:ptCount val="1"/>
                <c:pt idx="0">
                  <c:v>other</c:v>
                </c:pt>
              </c:strCache>
            </c:strRef>
          </c:tx>
          <c:spPr>
            <a:solidFill>
              <a:schemeClr val="accent6"/>
            </a:solidFill>
            <a:ln>
              <a:noFill/>
            </a:ln>
            <a:effectLst/>
          </c:spPr>
          <c:invertIfNegative val="0"/>
          <c:cat>
            <c:strRef>
              <c:f>'Expense Revenue Model'!$B$121:$O$121</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Model'!$B$127:$O$127</c:f>
              <c:numCache>
                <c:formatCode>0.0%</c:formatCode>
                <c:ptCount val="14"/>
                <c:pt idx="0">
                  <c:v>1.5693069920426239E-2</c:v>
                </c:pt>
                <c:pt idx="1">
                  <c:v>1.9203961065460448E-2</c:v>
                </c:pt>
                <c:pt idx="2">
                  <c:v>1.4885173577231807E-2</c:v>
                </c:pt>
                <c:pt idx="3">
                  <c:v>1.4330798098780786E-2</c:v>
                </c:pt>
                <c:pt idx="4">
                  <c:v>1.3871889149973596E-2</c:v>
                </c:pt>
                <c:pt idx="5">
                  <c:v>1.3436496032959083E-2</c:v>
                </c:pt>
                <c:pt idx="6">
                  <c:v>1.3028432566412167E-2</c:v>
                </c:pt>
                <c:pt idx="7">
                  <c:v>1.2657082640627551E-2</c:v>
                </c:pt>
                <c:pt idx="8">
                  <c:v>1.2306288685919015E-2</c:v>
                </c:pt>
                <c:pt idx="9">
                  <c:v>1.1962644873351779E-2</c:v>
                </c:pt>
                <c:pt idx="10">
                  <c:v>1.168263601650734E-2</c:v>
                </c:pt>
                <c:pt idx="11">
                  <c:v>1.1404318936231148E-2</c:v>
                </c:pt>
                <c:pt idx="12">
                  <c:v>1.1123389308956903E-2</c:v>
                </c:pt>
                <c:pt idx="13">
                  <c:v>1.0840213489023471E-2</c:v>
                </c:pt>
              </c:numCache>
            </c:numRef>
          </c:val>
          <c:extLst>
            <c:ext xmlns:c16="http://schemas.microsoft.com/office/drawing/2014/chart" uri="{C3380CC4-5D6E-409C-BE32-E72D297353CC}">
              <c16:uniqueId val="{00000005-1B1E-42F1-8037-62CED6F67F80}"/>
            </c:ext>
          </c:extLst>
        </c:ser>
        <c:dLbls>
          <c:showLegendKey val="0"/>
          <c:showVal val="0"/>
          <c:showCatName val="0"/>
          <c:showSerName val="0"/>
          <c:showPercent val="0"/>
          <c:showBubbleSize val="0"/>
        </c:dLbls>
        <c:gapWidth val="150"/>
        <c:overlap val="100"/>
        <c:axId val="-2066800304"/>
        <c:axId val="-2067527296"/>
      </c:barChart>
      <c:catAx>
        <c:axId val="-206680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7527296"/>
        <c:crosses val="autoZero"/>
        <c:auto val="1"/>
        <c:lblAlgn val="ctr"/>
        <c:lblOffset val="100"/>
        <c:noMultiLvlLbl val="0"/>
      </c:catAx>
      <c:valAx>
        <c:axId val="-2067527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6800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'Expense Revenue Model'!$A$114</c:f>
              <c:strCache>
                <c:ptCount val="1"/>
                <c:pt idx="0">
                  <c:v>Undergraduate tuition and fees</c:v>
                </c:pt>
              </c:strCache>
            </c:strRef>
          </c:tx>
          <c:spPr>
            <a:solidFill>
              <a:schemeClr val="accent1"/>
            </a:solidFill>
            <a:ln>
              <a:noFill/>
            </a:ln>
            <a:effectLst/>
          </c:spPr>
          <c:invertIfNegative val="0"/>
          <c:cat>
            <c:strRef>
              <c:f>'Expense Revenue Model'!$B$113:$O$113</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Model'!$B$114:$O$114</c:f>
              <c:numCache>
                <c:formatCode>_("$"* #,##0_);_("$"* \(#,##0\);_("$"* "-"??_);_(@_)</c:formatCode>
                <c:ptCount val="14"/>
                <c:pt idx="0">
                  <c:v>298104119.63999999</c:v>
                </c:pt>
                <c:pt idx="1">
                  <c:v>312255066.63999999</c:v>
                </c:pt>
                <c:pt idx="2">
                  <c:v>337376342.56</c:v>
                </c:pt>
                <c:pt idx="3">
                  <c:v>362261928.24384373</c:v>
                </c:pt>
                <c:pt idx="4">
                  <c:v>386404552.12090701</c:v>
                </c:pt>
                <c:pt idx="5">
                  <c:v>411666537.03325254</c:v>
                </c:pt>
                <c:pt idx="6">
                  <c:v>438244494.53032833</c:v>
                </c:pt>
                <c:pt idx="7">
                  <c:v>464633640.18830037</c:v>
                </c:pt>
                <c:pt idx="8">
                  <c:v>491826140.93561661</c:v>
                </c:pt>
                <c:pt idx="9">
                  <c:v>520661557.46082217</c:v>
                </c:pt>
                <c:pt idx="10">
                  <c:v>547062365.08430672</c:v>
                </c:pt>
                <c:pt idx="11">
                  <c:v>575076998.2795589</c:v>
                </c:pt>
                <c:pt idx="12">
                  <c:v>605159842.40526867</c:v>
                </c:pt>
                <c:pt idx="13">
                  <c:v>637487231.35767579</c:v>
                </c:pt>
              </c:numCache>
            </c:numRef>
          </c:val>
          <c:extLst>
            <c:ext xmlns:c16="http://schemas.microsoft.com/office/drawing/2014/chart" uri="{C3380CC4-5D6E-409C-BE32-E72D297353CC}">
              <c16:uniqueId val="{00000000-D232-4E04-87D2-91C661919F9A}"/>
            </c:ext>
          </c:extLst>
        </c:ser>
        <c:ser>
          <c:idx val="1"/>
          <c:order val="1"/>
          <c:tx>
            <c:strRef>
              <c:f>'Expense Revenue Model'!$A$115</c:f>
              <c:strCache>
                <c:ptCount val="1"/>
                <c:pt idx="0">
                  <c:v>Grad and Professional</c:v>
                </c:pt>
              </c:strCache>
            </c:strRef>
          </c:tx>
          <c:spPr>
            <a:solidFill>
              <a:schemeClr val="accent2"/>
            </a:solidFill>
            <a:ln>
              <a:noFill/>
            </a:ln>
            <a:effectLst/>
          </c:spPr>
          <c:invertIfNegative val="0"/>
          <c:cat>
            <c:strRef>
              <c:f>'Expense Revenue Model'!$B$113:$O$113</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Model'!$B$115:$O$115</c:f>
              <c:numCache>
                <c:formatCode>_("$"* #,##0_);_("$"* \(#,##0\);_("$"* "-"??_);_(@_)</c:formatCode>
                <c:ptCount val="14"/>
                <c:pt idx="0">
                  <c:v>31970042.359999996</c:v>
                </c:pt>
                <c:pt idx="1">
                  <c:v>30272471.360000007</c:v>
                </c:pt>
                <c:pt idx="2">
                  <c:v>34558751.440000013</c:v>
                </c:pt>
                <c:pt idx="3">
                  <c:v>36448267.19260481</c:v>
                </c:pt>
                <c:pt idx="4">
                  <c:v>39434220.146187529</c:v>
                </c:pt>
                <c:pt idx="5">
                  <c:v>42463445.949860707</c:v>
                </c:pt>
                <c:pt idx="6">
                  <c:v>45091270.697954789</c:v>
                </c:pt>
                <c:pt idx="7">
                  <c:v>48172401.603656694</c:v>
                </c:pt>
                <c:pt idx="8">
                  <c:v>51433964.931395456</c:v>
                </c:pt>
                <c:pt idx="9">
                  <c:v>54839198.83894702</c:v>
                </c:pt>
                <c:pt idx="10">
                  <c:v>58558171.84517625</c:v>
                </c:pt>
                <c:pt idx="11">
                  <c:v>62474388.729135573</c:v>
                </c:pt>
                <c:pt idx="12">
                  <c:v>66614244.418916248</c:v>
                </c:pt>
                <c:pt idx="13">
                  <c:v>70989868.758658931</c:v>
                </c:pt>
              </c:numCache>
            </c:numRef>
          </c:val>
          <c:extLst>
            <c:ext xmlns:c16="http://schemas.microsoft.com/office/drawing/2014/chart" uri="{C3380CC4-5D6E-409C-BE32-E72D297353CC}">
              <c16:uniqueId val="{00000001-D232-4E04-87D2-91C661919F9A}"/>
            </c:ext>
          </c:extLst>
        </c:ser>
        <c:ser>
          <c:idx val="2"/>
          <c:order val="2"/>
          <c:tx>
            <c:strRef>
              <c:f>'Expense Revenue Model'!$A$116</c:f>
              <c:strCache>
                <c:ptCount val="1"/>
                <c:pt idx="0">
                  <c:v>State funds</c:v>
                </c:pt>
              </c:strCache>
            </c:strRef>
          </c:tx>
          <c:spPr>
            <a:solidFill>
              <a:schemeClr val="accent3"/>
            </a:solidFill>
            <a:ln>
              <a:noFill/>
            </a:ln>
            <a:effectLst/>
          </c:spPr>
          <c:invertIfNegative val="0"/>
          <c:cat>
            <c:strRef>
              <c:f>'Expense Revenue Model'!$B$113:$O$113</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Model'!$B$116:$O$116</c:f>
              <c:numCache>
                <c:formatCode>_("$"* #,##0_);_("$"* \(#,##0\);_("$"* "-"??_);_(@_)</c:formatCode>
                <c:ptCount val="14"/>
                <c:pt idx="0">
                  <c:v>107609126</c:v>
                </c:pt>
                <c:pt idx="1">
                  <c:v>112828816.34</c:v>
                </c:pt>
                <c:pt idx="2">
                  <c:v>118299186</c:v>
                </c:pt>
                <c:pt idx="3">
                  <c:v>123149452.62599999</c:v>
                </c:pt>
                <c:pt idx="4">
                  <c:v>126228188.94164997</c:v>
                </c:pt>
                <c:pt idx="5">
                  <c:v>129383893.66519122</c:v>
                </c:pt>
                <c:pt idx="6">
                  <c:v>132618491.00682099</c:v>
                </c:pt>
                <c:pt idx="7">
                  <c:v>135933953.28199151</c:v>
                </c:pt>
                <c:pt idx="8">
                  <c:v>139332302.1140413</c:v>
                </c:pt>
                <c:pt idx="9">
                  <c:v>142815609.66689232</c:v>
                </c:pt>
                <c:pt idx="10">
                  <c:v>146385999.90856463</c:v>
                </c:pt>
                <c:pt idx="11">
                  <c:v>150045649.90627873</c:v>
                </c:pt>
                <c:pt idx="12">
                  <c:v>153796791.15393567</c:v>
                </c:pt>
                <c:pt idx="13">
                  <c:v>157641710.93278405</c:v>
                </c:pt>
              </c:numCache>
            </c:numRef>
          </c:val>
          <c:extLst>
            <c:ext xmlns:c16="http://schemas.microsoft.com/office/drawing/2014/chart" uri="{C3380CC4-5D6E-409C-BE32-E72D297353CC}">
              <c16:uniqueId val="{00000002-D232-4E04-87D2-91C661919F9A}"/>
            </c:ext>
          </c:extLst>
        </c:ser>
        <c:ser>
          <c:idx val="3"/>
          <c:order val="3"/>
          <c:tx>
            <c:strRef>
              <c:f>'Expense Revenue Model'!$A$117</c:f>
              <c:strCache>
                <c:ptCount val="1"/>
                <c:pt idx="0">
                  <c:v>F&amp;A recovery</c:v>
                </c:pt>
              </c:strCache>
            </c:strRef>
          </c:tx>
          <c:spPr>
            <a:solidFill>
              <a:schemeClr val="accent4"/>
            </a:solidFill>
            <a:ln>
              <a:noFill/>
            </a:ln>
            <a:effectLst/>
          </c:spPr>
          <c:invertIfNegative val="0"/>
          <c:cat>
            <c:strRef>
              <c:f>'Expense Revenue Model'!$B$113:$O$113</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Model'!$B$117:$O$117</c:f>
              <c:numCache>
                <c:formatCode>_("$"* #,##0_);_("$"* \(#,##0\);_("$"* "-"??_);_(@_)</c:formatCode>
                <c:ptCount val="14"/>
                <c:pt idx="0">
                  <c:v>39347789</c:v>
                </c:pt>
                <c:pt idx="1">
                  <c:v>38943993</c:v>
                </c:pt>
                <c:pt idx="2">
                  <c:v>39552000</c:v>
                </c:pt>
                <c:pt idx="3">
                  <c:v>40343040</c:v>
                </c:pt>
                <c:pt idx="4">
                  <c:v>41149900.799999997</c:v>
                </c:pt>
                <c:pt idx="5">
                  <c:v>41972898.816</c:v>
                </c:pt>
                <c:pt idx="6">
                  <c:v>42812356.792319998</c:v>
                </c:pt>
                <c:pt idx="7">
                  <c:v>43668603.928166397</c:v>
                </c:pt>
                <c:pt idx="8">
                  <c:v>44541976.006729722</c:v>
                </c:pt>
                <c:pt idx="9">
                  <c:v>45432815.52686432</c:v>
                </c:pt>
                <c:pt idx="10">
                  <c:v>46341471.837401606</c:v>
                </c:pt>
                <c:pt idx="11">
                  <c:v>47268301.274149641</c:v>
                </c:pt>
                <c:pt idx="12">
                  <c:v>48213667.299632639</c:v>
                </c:pt>
                <c:pt idx="13">
                  <c:v>49177940.645625293</c:v>
                </c:pt>
              </c:numCache>
            </c:numRef>
          </c:val>
          <c:extLst>
            <c:ext xmlns:c16="http://schemas.microsoft.com/office/drawing/2014/chart" uri="{C3380CC4-5D6E-409C-BE32-E72D297353CC}">
              <c16:uniqueId val="{00000003-D232-4E04-87D2-91C661919F9A}"/>
            </c:ext>
          </c:extLst>
        </c:ser>
        <c:ser>
          <c:idx val="4"/>
          <c:order val="4"/>
          <c:tx>
            <c:strRef>
              <c:f>'Expense Revenue Model'!$A$118</c:f>
              <c:strCache>
                <c:ptCount val="1"/>
                <c:pt idx="0">
                  <c:v>Sales and Service</c:v>
                </c:pt>
              </c:strCache>
            </c:strRef>
          </c:tx>
          <c:spPr>
            <a:solidFill>
              <a:schemeClr val="accent5"/>
            </a:solidFill>
            <a:ln>
              <a:noFill/>
            </a:ln>
            <a:effectLst/>
          </c:spPr>
          <c:invertIfNegative val="0"/>
          <c:cat>
            <c:strRef>
              <c:f>'Expense Revenue Model'!$B$113:$O$113</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Model'!$B$118:$O$118</c:f>
              <c:numCache>
                <c:formatCode>_("$"* #,##0_);_("$"* \(#,##0\);_("$"* "-"??_);_(@_)</c:formatCode>
                <c:ptCount val="14"/>
                <c:pt idx="0">
                  <c:v>15654151</c:v>
                </c:pt>
                <c:pt idx="1">
                  <c:v>15419887</c:v>
                </c:pt>
                <c:pt idx="2">
                  <c:v>14994000</c:v>
                </c:pt>
                <c:pt idx="3">
                  <c:v>15293880</c:v>
                </c:pt>
                <c:pt idx="4">
                  <c:v>15599757.6</c:v>
                </c:pt>
                <c:pt idx="5">
                  <c:v>15911752.752</c:v>
                </c:pt>
                <c:pt idx="6">
                  <c:v>16229987.80704</c:v>
                </c:pt>
                <c:pt idx="7">
                  <c:v>16554587.563180801</c:v>
                </c:pt>
                <c:pt idx="8">
                  <c:v>16885679.314444415</c:v>
                </c:pt>
                <c:pt idx="9">
                  <c:v>17223392.900733303</c:v>
                </c:pt>
                <c:pt idx="10">
                  <c:v>17567860.758747969</c:v>
                </c:pt>
                <c:pt idx="11">
                  <c:v>17919217.973922927</c:v>
                </c:pt>
                <c:pt idx="12">
                  <c:v>18277602.333401386</c:v>
                </c:pt>
                <c:pt idx="13">
                  <c:v>18643154.380069412</c:v>
                </c:pt>
              </c:numCache>
            </c:numRef>
          </c:val>
          <c:extLst>
            <c:ext xmlns:c16="http://schemas.microsoft.com/office/drawing/2014/chart" uri="{C3380CC4-5D6E-409C-BE32-E72D297353CC}">
              <c16:uniqueId val="{00000004-D232-4E04-87D2-91C661919F9A}"/>
            </c:ext>
          </c:extLst>
        </c:ser>
        <c:ser>
          <c:idx val="5"/>
          <c:order val="5"/>
          <c:tx>
            <c:strRef>
              <c:f>'Expense Revenue Model'!$A$119</c:f>
              <c:strCache>
                <c:ptCount val="1"/>
                <c:pt idx="0">
                  <c:v>other</c:v>
                </c:pt>
              </c:strCache>
            </c:strRef>
          </c:tx>
          <c:spPr>
            <a:solidFill>
              <a:schemeClr val="accent6"/>
            </a:solidFill>
            <a:ln>
              <a:noFill/>
            </a:ln>
            <a:effectLst/>
          </c:spPr>
          <c:invertIfNegative val="0"/>
          <c:cat>
            <c:strRef>
              <c:f>'Expense Revenue Model'!$B$113:$O$113</c:f>
              <c:strCache>
                <c:ptCount val="14"/>
                <c:pt idx="0">
                  <c:v>FY16</c:v>
                </c:pt>
                <c:pt idx="1">
                  <c:v>FY17</c:v>
                </c:pt>
                <c:pt idx="2">
                  <c:v>FY18</c:v>
                </c:pt>
                <c:pt idx="3">
                  <c:v>FY19</c:v>
                </c:pt>
                <c:pt idx="4">
                  <c:v>FY20</c:v>
                </c:pt>
                <c:pt idx="5">
                  <c:v>FY21</c:v>
                </c:pt>
                <c:pt idx="6">
                  <c:v>FY22</c:v>
                </c:pt>
                <c:pt idx="7">
                  <c:v>FY23</c:v>
                </c:pt>
                <c:pt idx="8">
                  <c:v>FY24</c:v>
                </c:pt>
                <c:pt idx="9">
                  <c:v>FY25</c:v>
                </c:pt>
                <c:pt idx="10">
                  <c:v>FY26</c:v>
                </c:pt>
                <c:pt idx="11">
                  <c:v>FY27</c:v>
                </c:pt>
                <c:pt idx="12">
                  <c:v>FY28</c:v>
                </c:pt>
                <c:pt idx="13">
                  <c:v>FY29</c:v>
                </c:pt>
              </c:strCache>
            </c:strRef>
          </c:cat>
          <c:val>
            <c:numRef>
              <c:f>'Expense Revenue Model'!$B$119:$O$119</c:f>
              <c:numCache>
                <c:formatCode>_("$"* #,##0_);_("$"* \(#,##0\);_("$"* "-"??_);_(@_)</c:formatCode>
                <c:ptCount val="14"/>
                <c:pt idx="0">
                  <c:v>7855013</c:v>
                </c:pt>
                <c:pt idx="1">
                  <c:v>9980309</c:v>
                </c:pt>
                <c:pt idx="2">
                  <c:v>8231679</c:v>
                </c:pt>
                <c:pt idx="3">
                  <c:v>8396312.5800000001</c:v>
                </c:pt>
                <c:pt idx="4">
                  <c:v>8564238.8315999992</c:v>
                </c:pt>
                <c:pt idx="5">
                  <c:v>8735523.608231999</c:v>
                </c:pt>
                <c:pt idx="6">
                  <c:v>8910234.080396641</c:v>
                </c:pt>
                <c:pt idx="7">
                  <c:v>9088438.7620045729</c:v>
                </c:pt>
                <c:pt idx="8">
                  <c:v>9270207.5372446664</c:v>
                </c:pt>
                <c:pt idx="9">
                  <c:v>9455611.687989559</c:v>
                </c:pt>
                <c:pt idx="10">
                  <c:v>9644723.9217493497</c:v>
                </c:pt>
                <c:pt idx="11">
                  <c:v>9837618.400184337</c:v>
                </c:pt>
                <c:pt idx="12">
                  <c:v>10034370.768188024</c:v>
                </c:pt>
                <c:pt idx="13">
                  <c:v>10235058.183551785</c:v>
                </c:pt>
              </c:numCache>
            </c:numRef>
          </c:val>
          <c:extLst>
            <c:ext xmlns:c16="http://schemas.microsoft.com/office/drawing/2014/chart" uri="{C3380CC4-5D6E-409C-BE32-E72D297353CC}">
              <c16:uniqueId val="{00000005-D232-4E04-87D2-91C661919F9A}"/>
            </c:ext>
          </c:extLst>
        </c:ser>
        <c:dLbls>
          <c:showLegendKey val="0"/>
          <c:showVal val="0"/>
          <c:showCatName val="0"/>
          <c:showSerName val="0"/>
          <c:showPercent val="0"/>
          <c:showBubbleSize val="0"/>
        </c:dLbls>
        <c:gapWidth val="150"/>
        <c:overlap val="100"/>
        <c:axId val="2145669440"/>
        <c:axId val="2145615344"/>
      </c:barChart>
      <c:catAx>
        <c:axId val="214566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615344"/>
        <c:crosses val="autoZero"/>
        <c:auto val="1"/>
        <c:lblAlgn val="ctr"/>
        <c:lblOffset val="100"/>
        <c:noMultiLvlLbl val="0"/>
      </c:catAx>
      <c:valAx>
        <c:axId val="214561534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66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Inflation!$S$5</c:f>
              <c:strCache>
                <c:ptCount val="1"/>
                <c:pt idx="0">
                  <c:v>CPI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Inflation!$R$6:$R$24</c:f>
              <c:strCache>
                <c:ptCount val="19"/>
                <c:pt idx="0">
                  <c:v>FY2000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pt idx="14">
                  <c:v>FY14</c:v>
                </c:pt>
                <c:pt idx="15">
                  <c:v>FY15</c:v>
                </c:pt>
                <c:pt idx="16">
                  <c:v>FY16</c:v>
                </c:pt>
                <c:pt idx="17">
                  <c:v>FY17</c:v>
                </c:pt>
                <c:pt idx="18">
                  <c:v>FY18</c:v>
                </c:pt>
              </c:strCache>
            </c:strRef>
          </c:cat>
          <c:val>
            <c:numRef>
              <c:f>Inflation!$S$6:$S$24</c:f>
              <c:numCache>
                <c:formatCode>0.00%</c:formatCode>
                <c:ptCount val="19"/>
                <c:pt idx="0">
                  <c:v>3.4000000000000002E-2</c:v>
                </c:pt>
                <c:pt idx="1">
                  <c:v>2.8000000000000001E-2</c:v>
                </c:pt>
                <c:pt idx="2">
                  <c:v>1.6E-2</c:v>
                </c:pt>
                <c:pt idx="3">
                  <c:v>2.3E-2</c:v>
                </c:pt>
                <c:pt idx="4">
                  <c:v>2.7E-2</c:v>
                </c:pt>
                <c:pt idx="5">
                  <c:v>3.4000000000000002E-2</c:v>
                </c:pt>
                <c:pt idx="6">
                  <c:v>3.2000000000000001E-2</c:v>
                </c:pt>
                <c:pt idx="7">
                  <c:v>2.8000000000000001E-2</c:v>
                </c:pt>
                <c:pt idx="8">
                  <c:v>3.7999999999999999E-2</c:v>
                </c:pt>
                <c:pt idx="9">
                  <c:v>-4.0000000000000001E-3</c:v>
                </c:pt>
                <c:pt idx="10">
                  <c:v>1.6E-2</c:v>
                </c:pt>
                <c:pt idx="11">
                  <c:v>3.2000000000000001E-2</c:v>
                </c:pt>
                <c:pt idx="12">
                  <c:v>2.1000000000000001E-2</c:v>
                </c:pt>
                <c:pt idx="13">
                  <c:v>1.4999999999999999E-2</c:v>
                </c:pt>
                <c:pt idx="14">
                  <c:v>1.6E-2</c:v>
                </c:pt>
                <c:pt idx="15">
                  <c:v>1E-3</c:v>
                </c:pt>
                <c:pt idx="16">
                  <c:v>1.2999999999999999E-2</c:v>
                </c:pt>
                <c:pt idx="17">
                  <c:v>2.2800000000000001E-2</c:v>
                </c:pt>
                <c:pt idx="18" formatCode="0%">
                  <c:v>0.02</c:v>
                </c:pt>
              </c:numCache>
            </c:numRef>
          </c:val>
          <c:smooth val="0"/>
          <c:extLst>
            <c:ext xmlns:c16="http://schemas.microsoft.com/office/drawing/2014/chart" uri="{C3380CC4-5D6E-409C-BE32-E72D297353CC}">
              <c16:uniqueId val="{00000000-9109-4E0D-9D55-9625F0A3E5F8}"/>
            </c:ext>
          </c:extLst>
        </c:ser>
        <c:ser>
          <c:idx val="1"/>
          <c:order val="1"/>
          <c:tx>
            <c:strRef>
              <c:f>Inflation!$T$5</c:f>
              <c:strCache>
                <c:ptCount val="1"/>
                <c:pt idx="0">
                  <c:v>HEPI</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Inflation!$R$6:$R$24</c:f>
              <c:strCache>
                <c:ptCount val="19"/>
                <c:pt idx="0">
                  <c:v>FY2000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pt idx="14">
                  <c:v>FY14</c:v>
                </c:pt>
                <c:pt idx="15">
                  <c:v>FY15</c:v>
                </c:pt>
                <c:pt idx="16">
                  <c:v>FY16</c:v>
                </c:pt>
                <c:pt idx="17">
                  <c:v>FY17</c:v>
                </c:pt>
                <c:pt idx="18">
                  <c:v>FY18</c:v>
                </c:pt>
              </c:strCache>
            </c:strRef>
          </c:cat>
          <c:val>
            <c:numRef>
              <c:f>Inflation!$T$6:$T$24</c:f>
              <c:numCache>
                <c:formatCode>0.00%</c:formatCode>
                <c:ptCount val="19"/>
                <c:pt idx="0">
                  <c:v>4.1000000000000002E-2</c:v>
                </c:pt>
                <c:pt idx="1">
                  <c:v>0.06</c:v>
                </c:pt>
                <c:pt idx="2">
                  <c:v>1.9E-2</c:v>
                </c:pt>
                <c:pt idx="3">
                  <c:v>5.0999999999999997E-2</c:v>
                </c:pt>
                <c:pt idx="4">
                  <c:v>3.6999999999999998E-2</c:v>
                </c:pt>
                <c:pt idx="5">
                  <c:v>3.9E-2</c:v>
                </c:pt>
                <c:pt idx="6">
                  <c:v>5.0999999999999997E-2</c:v>
                </c:pt>
                <c:pt idx="7">
                  <c:v>2.8000000000000001E-2</c:v>
                </c:pt>
                <c:pt idx="8">
                  <c:v>0.05</c:v>
                </c:pt>
                <c:pt idx="9">
                  <c:v>2.3E-2</c:v>
                </c:pt>
                <c:pt idx="10">
                  <c:v>8.9999999999999993E-3</c:v>
                </c:pt>
                <c:pt idx="11">
                  <c:v>2.3E-2</c:v>
                </c:pt>
                <c:pt idx="12">
                  <c:v>1.7000000000000001E-2</c:v>
                </c:pt>
                <c:pt idx="13">
                  <c:v>1.6E-2</c:v>
                </c:pt>
                <c:pt idx="14">
                  <c:v>0.03</c:v>
                </c:pt>
                <c:pt idx="15">
                  <c:v>2.1000000000000001E-2</c:v>
                </c:pt>
                <c:pt idx="16">
                  <c:v>1.7999999999999999E-2</c:v>
                </c:pt>
              </c:numCache>
            </c:numRef>
          </c:val>
          <c:smooth val="0"/>
          <c:extLst>
            <c:ext xmlns:c16="http://schemas.microsoft.com/office/drawing/2014/chart" uri="{C3380CC4-5D6E-409C-BE32-E72D297353CC}">
              <c16:uniqueId val="{00000001-9109-4E0D-9D55-9625F0A3E5F8}"/>
            </c:ext>
          </c:extLst>
        </c:ser>
        <c:ser>
          <c:idx val="2"/>
          <c:order val="2"/>
          <c:tx>
            <c:strRef>
              <c:f>Inflation!$U$5</c:f>
              <c:strCache>
                <c:ptCount val="1"/>
                <c:pt idx="0">
                  <c:v>Local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Inflation!$R$6:$R$24</c:f>
              <c:strCache>
                <c:ptCount val="19"/>
                <c:pt idx="0">
                  <c:v>FY2000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pt idx="14">
                  <c:v>FY14</c:v>
                </c:pt>
                <c:pt idx="15">
                  <c:v>FY15</c:v>
                </c:pt>
                <c:pt idx="16">
                  <c:v>FY16</c:v>
                </c:pt>
                <c:pt idx="17">
                  <c:v>FY17</c:v>
                </c:pt>
                <c:pt idx="18">
                  <c:v>FY18</c:v>
                </c:pt>
              </c:strCache>
            </c:strRef>
          </c:cat>
          <c:val>
            <c:numRef>
              <c:f>Inflation!$U$6:$U$24</c:f>
              <c:numCache>
                <c:formatCode>0.000%</c:formatCode>
                <c:ptCount val="19"/>
                <c:pt idx="0">
                  <c:v>4.4600000000000001E-2</c:v>
                </c:pt>
                <c:pt idx="1">
                  <c:v>3.8600000000000002E-2</c:v>
                </c:pt>
                <c:pt idx="2">
                  <c:v>2.6599999999999999E-2</c:v>
                </c:pt>
                <c:pt idx="3">
                  <c:v>3.3599999999999998E-2</c:v>
                </c:pt>
                <c:pt idx="4">
                  <c:v>3.7600000000000001E-2</c:v>
                </c:pt>
                <c:pt idx="5">
                  <c:v>4.4600000000000001E-2</c:v>
                </c:pt>
                <c:pt idx="6">
                  <c:v>4.2599999999999999E-2</c:v>
                </c:pt>
                <c:pt idx="7">
                  <c:v>3.8600000000000002E-2</c:v>
                </c:pt>
                <c:pt idx="8">
                  <c:v>4.8599999999999997E-2</c:v>
                </c:pt>
                <c:pt idx="9">
                  <c:v>6.6E-3</c:v>
                </c:pt>
                <c:pt idx="10">
                  <c:v>2.6599999999999999E-2</c:v>
                </c:pt>
                <c:pt idx="11">
                  <c:v>4.2599999999999999E-2</c:v>
                </c:pt>
                <c:pt idx="12">
                  <c:v>3.1600000000000003E-2</c:v>
                </c:pt>
                <c:pt idx="13">
                  <c:v>2.5599999999999998E-2</c:v>
                </c:pt>
                <c:pt idx="14">
                  <c:v>2.6599999999999999E-2</c:v>
                </c:pt>
                <c:pt idx="15">
                  <c:v>1.1599999999999999E-2</c:v>
                </c:pt>
                <c:pt idx="16">
                  <c:v>2.3599999999999999E-2</c:v>
                </c:pt>
                <c:pt idx="17">
                  <c:v>3.3399999999999999E-2</c:v>
                </c:pt>
                <c:pt idx="18" formatCode="0.00%">
                  <c:v>3.6299999999999999E-2</c:v>
                </c:pt>
              </c:numCache>
            </c:numRef>
          </c:val>
          <c:smooth val="0"/>
          <c:extLst>
            <c:ext xmlns:c16="http://schemas.microsoft.com/office/drawing/2014/chart" uri="{C3380CC4-5D6E-409C-BE32-E72D297353CC}">
              <c16:uniqueId val="{00000002-9109-4E0D-9D55-9625F0A3E5F8}"/>
            </c:ext>
          </c:extLst>
        </c:ser>
        <c:dLbls>
          <c:showLegendKey val="0"/>
          <c:showVal val="0"/>
          <c:showCatName val="0"/>
          <c:showSerName val="0"/>
          <c:showPercent val="0"/>
          <c:showBubbleSize val="0"/>
        </c:dLbls>
        <c:marker val="1"/>
        <c:smooth val="0"/>
        <c:axId val="2146198448"/>
        <c:axId val="2122928288"/>
      </c:lineChart>
      <c:catAx>
        <c:axId val="214619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928288"/>
        <c:crosses val="autoZero"/>
        <c:auto val="1"/>
        <c:lblAlgn val="ctr"/>
        <c:lblOffset val="100"/>
        <c:noMultiLvlLbl val="0"/>
      </c:catAx>
      <c:valAx>
        <c:axId val="2122928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19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774700</xdr:colOff>
      <xdr:row>2</xdr:row>
      <xdr:rowOff>38100</xdr:rowOff>
    </xdr:from>
    <xdr:to>
      <xdr:col>7</xdr:col>
      <xdr:colOff>863600</xdr:colOff>
      <xdr:row>22</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203200</xdr:colOff>
      <xdr:row>2</xdr:row>
      <xdr:rowOff>25400</xdr:rowOff>
    </xdr:from>
    <xdr:to>
      <xdr:col>15</xdr:col>
      <xdr:colOff>76200</xdr:colOff>
      <xdr:row>22</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457200</xdr:colOff>
      <xdr:row>113</xdr:row>
      <xdr:rowOff>63500</xdr:rowOff>
    </xdr:from>
    <xdr:to>
      <xdr:col>21</xdr:col>
      <xdr:colOff>76200</xdr:colOff>
      <xdr:row>126</xdr:row>
      <xdr:rowOff>165100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266700</xdr:colOff>
      <xdr:row>98</xdr:row>
      <xdr:rowOff>101600</xdr:rowOff>
    </xdr:from>
    <xdr:to>
      <xdr:col>20</xdr:col>
      <xdr:colOff>711200</xdr:colOff>
      <xdr:row>111</xdr:row>
      <xdr:rowOff>190500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368300</xdr:colOff>
      <xdr:row>5</xdr:row>
      <xdr:rowOff>38100</xdr:rowOff>
    </xdr:from>
    <xdr:to>
      <xdr:col>27</xdr:col>
      <xdr:colOff>812800</xdr:colOff>
      <xdr:row>16</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19"/>
  <sheetViews>
    <sheetView workbookViewId="0">
      <selection activeCell="K19" sqref="K19"/>
    </sheetView>
  </sheetViews>
  <sheetFormatPr defaultColWidth="11" defaultRowHeight="15.75" x14ac:dyDescent="0.25"/>
  <sheetData>
    <row r="5" spans="1:11" x14ac:dyDescent="0.25">
      <c r="A5" s="137" t="s">
        <v>237</v>
      </c>
    </row>
    <row r="6" spans="1:11" x14ac:dyDescent="0.25">
      <c r="A6" s="136"/>
    </row>
    <row r="7" spans="1:11" ht="66" customHeight="1" x14ac:dyDescent="0.25">
      <c r="A7" s="139" t="s">
        <v>238</v>
      </c>
      <c r="B7" s="139"/>
      <c r="C7" s="139"/>
      <c r="D7" s="139"/>
      <c r="E7" s="139"/>
      <c r="F7" s="139"/>
      <c r="G7" s="139"/>
      <c r="H7" s="139"/>
      <c r="I7" s="139"/>
      <c r="J7" s="139"/>
    </row>
    <row r="8" spans="1:11" x14ac:dyDescent="0.25">
      <c r="A8" s="136"/>
    </row>
    <row r="9" spans="1:11" ht="98.1" customHeight="1" x14ac:dyDescent="0.25">
      <c r="A9" s="140" t="s">
        <v>239</v>
      </c>
      <c r="B9" s="140"/>
      <c r="C9" s="140"/>
      <c r="D9" s="140"/>
      <c r="E9" s="140"/>
      <c r="F9" s="140"/>
      <c r="G9" s="140"/>
      <c r="H9" s="140"/>
      <c r="I9" s="140"/>
      <c r="J9" s="140"/>
    </row>
    <row r="10" spans="1:11" x14ac:dyDescent="0.25">
      <c r="A10" s="136"/>
    </row>
    <row r="11" spans="1:11" ht="47.1" customHeight="1" x14ac:dyDescent="0.25">
      <c r="A11" s="140" t="s">
        <v>240</v>
      </c>
      <c r="B11" s="140"/>
      <c r="C11" s="140"/>
      <c r="D11" s="140"/>
      <c r="E11" s="140"/>
      <c r="F11" s="140"/>
      <c r="G11" s="140"/>
      <c r="H11" s="140"/>
      <c r="I11" s="140"/>
      <c r="J11" s="140"/>
    </row>
    <row r="12" spans="1:11" x14ac:dyDescent="0.25">
      <c r="A12" s="136"/>
    </row>
    <row r="13" spans="1:11" ht="32.1" customHeight="1" x14ac:dyDescent="0.25">
      <c r="A13" s="140" t="s">
        <v>241</v>
      </c>
      <c r="B13" s="140"/>
      <c r="C13" s="140"/>
      <c r="D13" s="140"/>
      <c r="E13" s="140"/>
      <c r="F13" s="140"/>
      <c r="G13" s="140"/>
      <c r="H13" s="140"/>
      <c r="I13" s="140"/>
      <c r="J13" s="140"/>
      <c r="K13" s="138"/>
    </row>
    <row r="14" spans="1:11" x14ac:dyDescent="0.25">
      <c r="A14" s="136"/>
    </row>
    <row r="15" spans="1:11" ht="33.950000000000003" customHeight="1" x14ac:dyDescent="0.25">
      <c r="A15" s="140" t="s">
        <v>242</v>
      </c>
      <c r="B15" s="140"/>
      <c r="C15" s="140"/>
      <c r="D15" s="140"/>
      <c r="E15" s="140"/>
      <c r="F15" s="140"/>
      <c r="G15" s="140"/>
      <c r="H15" s="140"/>
      <c r="I15" s="140"/>
      <c r="J15" s="140"/>
    </row>
    <row r="16" spans="1:11" x14ac:dyDescent="0.25">
      <c r="A16" s="136"/>
    </row>
    <row r="17" spans="1:10" ht="32.1" customHeight="1" x14ac:dyDescent="0.25">
      <c r="A17" s="140" t="s">
        <v>243</v>
      </c>
      <c r="B17" s="140"/>
      <c r="C17" s="140"/>
      <c r="D17" s="140"/>
      <c r="E17" s="140"/>
      <c r="F17" s="140"/>
      <c r="G17" s="140"/>
      <c r="H17" s="140"/>
      <c r="I17" s="140"/>
      <c r="J17" s="140"/>
    </row>
    <row r="18" spans="1:10" x14ac:dyDescent="0.25">
      <c r="A18" s="136"/>
    </row>
    <row r="19" spans="1:10" ht="51" customHeight="1" x14ac:dyDescent="0.25">
      <c r="A19" s="140" t="s">
        <v>244</v>
      </c>
      <c r="B19" s="140"/>
      <c r="C19" s="140"/>
      <c r="D19" s="140"/>
      <c r="E19" s="140"/>
      <c r="F19" s="140"/>
      <c r="G19" s="140"/>
      <c r="H19" s="140"/>
      <c r="I19" s="140"/>
      <c r="J19" s="140"/>
    </row>
  </sheetData>
  <mergeCells count="7">
    <mergeCell ref="A17:J17"/>
    <mergeCell ref="A19:J19"/>
    <mergeCell ref="A7:J7"/>
    <mergeCell ref="A9:J9"/>
    <mergeCell ref="A11:J11"/>
    <mergeCell ref="A13:J13"/>
    <mergeCell ref="A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7"/>
  <sheetViews>
    <sheetView zoomScale="80" zoomScaleNormal="80" workbookViewId="0">
      <selection activeCell="H26" sqref="H26"/>
    </sheetView>
  </sheetViews>
  <sheetFormatPr defaultColWidth="11" defaultRowHeight="15.75" x14ac:dyDescent="0.25"/>
  <cols>
    <col min="1" max="1" width="33" customWidth="1"/>
    <col min="2" max="2" width="15.375" customWidth="1"/>
    <col min="3" max="3" width="14.125" customWidth="1"/>
    <col min="4" max="4" width="13.875" customWidth="1"/>
    <col min="5" max="5" width="12.625" customWidth="1"/>
    <col min="6" max="6" width="15" customWidth="1"/>
    <col min="7" max="7" width="12.375" customWidth="1"/>
    <col min="8" max="14" width="12.125" customWidth="1"/>
    <col min="15" max="15" width="13.125" customWidth="1"/>
  </cols>
  <sheetData>
    <row r="1" spans="1:1" x14ac:dyDescent="0.25">
      <c r="A1" t="s">
        <v>235</v>
      </c>
    </row>
    <row r="3" spans="1:1" x14ac:dyDescent="0.25">
      <c r="A3" t="s">
        <v>229</v>
      </c>
    </row>
    <row r="25" spans="1:15" ht="16.5" thickBot="1" x14ac:dyDescent="0.3"/>
    <row r="26" spans="1:15" ht="16.5" thickBot="1" x14ac:dyDescent="0.3">
      <c r="B26" s="111" t="s">
        <v>185</v>
      </c>
      <c r="C26" s="46"/>
      <c r="D26" s="134" t="s">
        <v>186</v>
      </c>
      <c r="F26" s="115" t="s">
        <v>195</v>
      </c>
      <c r="G26" s="116"/>
      <c r="H26" s="135" t="s">
        <v>228</v>
      </c>
    </row>
    <row r="29" spans="1:15" x14ac:dyDescent="0.25">
      <c r="B29" s="5" t="s">
        <v>56</v>
      </c>
      <c r="C29" s="5" t="s">
        <v>2</v>
      </c>
      <c r="D29" s="4" t="s">
        <v>3</v>
      </c>
      <c r="E29" s="4" t="s">
        <v>4</v>
      </c>
      <c r="F29" s="5" t="s">
        <v>5</v>
      </c>
      <c r="G29" s="5" t="s">
        <v>6</v>
      </c>
      <c r="H29" s="4" t="s">
        <v>7</v>
      </c>
      <c r="I29" s="4" t="s">
        <v>8</v>
      </c>
      <c r="J29" s="5" t="s">
        <v>9</v>
      </c>
      <c r="K29" s="5" t="s">
        <v>10</v>
      </c>
      <c r="L29" s="4" t="s">
        <v>11</v>
      </c>
      <c r="M29" s="4" t="s">
        <v>12</v>
      </c>
      <c r="N29" s="5" t="s">
        <v>33</v>
      </c>
      <c r="O29" s="5" t="s">
        <v>39</v>
      </c>
    </row>
    <row r="30" spans="1:15" x14ac:dyDescent="0.25">
      <c r="A30" t="s">
        <v>176</v>
      </c>
      <c r="B30" s="17"/>
      <c r="C30" s="17"/>
      <c r="D30" s="17"/>
      <c r="E30" s="110">
        <v>0.03</v>
      </c>
      <c r="F30" s="99">
        <f>E30</f>
        <v>0.03</v>
      </c>
      <c r="G30" s="99">
        <f t="shared" ref="G30:O30" si="0">F30</f>
        <v>0.03</v>
      </c>
      <c r="H30" s="99">
        <f t="shared" si="0"/>
        <v>0.03</v>
      </c>
      <c r="I30" s="99">
        <f t="shared" si="0"/>
        <v>0.03</v>
      </c>
      <c r="J30" s="99">
        <f t="shared" si="0"/>
        <v>0.03</v>
      </c>
      <c r="K30" s="99">
        <f t="shared" si="0"/>
        <v>0.03</v>
      </c>
      <c r="L30" s="99">
        <f t="shared" si="0"/>
        <v>0.03</v>
      </c>
      <c r="M30" s="99">
        <f t="shared" si="0"/>
        <v>0.03</v>
      </c>
      <c r="N30" s="99">
        <f t="shared" si="0"/>
        <v>0.03</v>
      </c>
      <c r="O30" s="99">
        <f t="shared" si="0"/>
        <v>0.03</v>
      </c>
    </row>
    <row r="31" spans="1:15" x14ac:dyDescent="0.25">
      <c r="A31" t="s">
        <v>177</v>
      </c>
      <c r="B31" s="17"/>
      <c r="C31" s="17"/>
      <c r="D31" s="17"/>
      <c r="E31" s="110">
        <f>E30/2</f>
        <v>1.4999999999999999E-2</v>
      </c>
      <c r="F31" s="99">
        <f t="shared" ref="F31:O31" si="1">E31</f>
        <v>1.4999999999999999E-2</v>
      </c>
      <c r="G31" s="99">
        <f t="shared" si="1"/>
        <v>1.4999999999999999E-2</v>
      </c>
      <c r="H31" s="99">
        <f t="shared" si="1"/>
        <v>1.4999999999999999E-2</v>
      </c>
      <c r="I31" s="99">
        <f t="shared" si="1"/>
        <v>1.4999999999999999E-2</v>
      </c>
      <c r="J31" s="99">
        <f t="shared" si="1"/>
        <v>1.4999999999999999E-2</v>
      </c>
      <c r="K31" s="99">
        <f t="shared" si="1"/>
        <v>1.4999999999999999E-2</v>
      </c>
      <c r="L31" s="99">
        <f t="shared" si="1"/>
        <v>1.4999999999999999E-2</v>
      </c>
      <c r="M31" s="99">
        <f t="shared" si="1"/>
        <v>1.4999999999999999E-2</v>
      </c>
      <c r="N31" s="99">
        <f t="shared" si="1"/>
        <v>1.4999999999999999E-2</v>
      </c>
      <c r="O31" s="99">
        <f t="shared" si="1"/>
        <v>1.4999999999999999E-2</v>
      </c>
    </row>
    <row r="32" spans="1:15" x14ac:dyDescent="0.25">
      <c r="A32" t="s">
        <v>178</v>
      </c>
      <c r="B32" s="17"/>
      <c r="C32" s="17"/>
      <c r="D32" s="17"/>
      <c r="E32" s="110">
        <v>0.03</v>
      </c>
      <c r="F32" s="99">
        <f t="shared" ref="F32:O32" si="2">E32</f>
        <v>0.03</v>
      </c>
      <c r="G32" s="99">
        <f t="shared" si="2"/>
        <v>0.03</v>
      </c>
      <c r="H32" s="99">
        <f t="shared" si="2"/>
        <v>0.03</v>
      </c>
      <c r="I32" s="99">
        <f t="shared" si="2"/>
        <v>0.03</v>
      </c>
      <c r="J32" s="99">
        <f t="shared" si="2"/>
        <v>0.03</v>
      </c>
      <c r="K32" s="99">
        <f t="shared" si="2"/>
        <v>0.03</v>
      </c>
      <c r="L32" s="99">
        <f t="shared" si="2"/>
        <v>0.03</v>
      </c>
      <c r="M32" s="99">
        <f t="shared" si="2"/>
        <v>0.03</v>
      </c>
      <c r="N32" s="99">
        <f t="shared" si="2"/>
        <v>0.03</v>
      </c>
      <c r="O32" s="99">
        <f t="shared" si="2"/>
        <v>0.03</v>
      </c>
    </row>
    <row r="33" spans="1:29" x14ac:dyDescent="0.25">
      <c r="A33" t="s">
        <v>179</v>
      </c>
      <c r="B33" s="17"/>
      <c r="C33" s="17"/>
      <c r="D33" s="17"/>
      <c r="E33" s="110">
        <v>0.02</v>
      </c>
      <c r="F33" s="99">
        <f t="shared" ref="F33:O33" si="3">E33</f>
        <v>0.02</v>
      </c>
      <c r="G33" s="99">
        <f t="shared" si="3"/>
        <v>0.02</v>
      </c>
      <c r="H33" s="99">
        <f t="shared" si="3"/>
        <v>0.02</v>
      </c>
      <c r="I33" s="99">
        <f t="shared" si="3"/>
        <v>0.02</v>
      </c>
      <c r="J33" s="99">
        <f t="shared" si="3"/>
        <v>0.02</v>
      </c>
      <c r="K33" s="99">
        <f t="shared" si="3"/>
        <v>0.02</v>
      </c>
      <c r="L33" s="99">
        <f t="shared" si="3"/>
        <v>0.02</v>
      </c>
      <c r="M33" s="99">
        <f t="shared" si="3"/>
        <v>0.02</v>
      </c>
      <c r="N33" s="99">
        <f t="shared" si="3"/>
        <v>0.02</v>
      </c>
      <c r="O33" s="99">
        <f t="shared" si="3"/>
        <v>0.02</v>
      </c>
    </row>
    <row r="34" spans="1:29" x14ac:dyDescent="0.25">
      <c r="B34" s="17"/>
      <c r="C34" s="17"/>
      <c r="D34" s="17"/>
      <c r="E34" s="99"/>
      <c r="F34" s="17"/>
      <c r="G34" s="17"/>
      <c r="H34" s="17"/>
      <c r="I34" s="17"/>
      <c r="J34" s="17"/>
      <c r="K34" s="17"/>
      <c r="L34" s="17"/>
      <c r="M34" s="17"/>
      <c r="N34" s="17"/>
      <c r="O34" s="17"/>
    </row>
    <row r="35" spans="1:29" x14ac:dyDescent="0.25">
      <c r="A35" t="s">
        <v>180</v>
      </c>
      <c r="B35" s="17"/>
      <c r="C35" s="17"/>
      <c r="D35" s="17"/>
      <c r="E35" s="110">
        <v>2.5000000000000001E-2</v>
      </c>
      <c r="F35" s="99">
        <f t="shared" ref="F35:O35" si="4">E35</f>
        <v>2.5000000000000001E-2</v>
      </c>
      <c r="G35" s="99">
        <f t="shared" si="4"/>
        <v>2.5000000000000001E-2</v>
      </c>
      <c r="H35" s="99">
        <f t="shared" si="4"/>
        <v>2.5000000000000001E-2</v>
      </c>
      <c r="I35" s="99">
        <f t="shared" si="4"/>
        <v>2.5000000000000001E-2</v>
      </c>
      <c r="J35" s="99">
        <f t="shared" si="4"/>
        <v>2.5000000000000001E-2</v>
      </c>
      <c r="K35" s="99">
        <f t="shared" si="4"/>
        <v>2.5000000000000001E-2</v>
      </c>
      <c r="L35" s="99">
        <f t="shared" si="4"/>
        <v>2.5000000000000001E-2</v>
      </c>
      <c r="M35" s="99">
        <f t="shared" si="4"/>
        <v>2.5000000000000001E-2</v>
      </c>
      <c r="N35" s="99">
        <f t="shared" si="4"/>
        <v>2.5000000000000001E-2</v>
      </c>
      <c r="O35" s="99">
        <f t="shared" si="4"/>
        <v>2.5000000000000001E-2</v>
      </c>
    </row>
    <row r="36" spans="1:29" x14ac:dyDescent="0.25">
      <c r="A36" t="s">
        <v>181</v>
      </c>
      <c r="B36" s="17"/>
      <c r="C36" s="17"/>
      <c r="D36" s="17"/>
      <c r="E36" s="110">
        <v>0.02</v>
      </c>
      <c r="F36" s="99">
        <f t="shared" ref="F36:O36" si="5">E36</f>
        <v>0.02</v>
      </c>
      <c r="G36" s="99">
        <f t="shared" si="5"/>
        <v>0.02</v>
      </c>
      <c r="H36" s="99">
        <f t="shared" si="5"/>
        <v>0.02</v>
      </c>
      <c r="I36" s="99">
        <f t="shared" si="5"/>
        <v>0.02</v>
      </c>
      <c r="J36" s="99">
        <f t="shared" si="5"/>
        <v>0.02</v>
      </c>
      <c r="K36" s="99">
        <f t="shared" si="5"/>
        <v>0.02</v>
      </c>
      <c r="L36" s="99">
        <f t="shared" si="5"/>
        <v>0.02</v>
      </c>
      <c r="M36" s="99">
        <f t="shared" si="5"/>
        <v>0.02</v>
      </c>
      <c r="N36" s="99">
        <f t="shared" si="5"/>
        <v>0.02</v>
      </c>
      <c r="O36" s="99">
        <f t="shared" si="5"/>
        <v>0.02</v>
      </c>
    </row>
    <row r="37" spans="1:29" x14ac:dyDescent="0.25">
      <c r="B37" s="17"/>
      <c r="C37" s="17"/>
      <c r="D37" s="17"/>
      <c r="E37" s="17"/>
      <c r="F37" s="17"/>
      <c r="G37" s="17"/>
      <c r="H37" s="17"/>
      <c r="I37" s="17"/>
      <c r="J37" s="17"/>
      <c r="K37" s="17"/>
      <c r="L37" s="17"/>
      <c r="M37" s="17"/>
      <c r="N37" s="17"/>
      <c r="O37" s="17"/>
    </row>
    <row r="38" spans="1:29" x14ac:dyDescent="0.25">
      <c r="B38" s="5" t="s">
        <v>56</v>
      </c>
      <c r="C38" s="5" t="s">
        <v>2</v>
      </c>
      <c r="D38" s="4" t="s">
        <v>3</v>
      </c>
      <c r="E38" s="4" t="s">
        <v>4</v>
      </c>
      <c r="F38" s="5" t="s">
        <v>5</v>
      </c>
      <c r="G38" s="5" t="s">
        <v>6</v>
      </c>
      <c r="H38" s="4" t="s">
        <v>7</v>
      </c>
      <c r="I38" s="4" t="s">
        <v>8</v>
      </c>
      <c r="J38" s="5" t="s">
        <v>9</v>
      </c>
      <c r="K38" s="5" t="s">
        <v>10</v>
      </c>
      <c r="L38" s="4" t="s">
        <v>11</v>
      </c>
      <c r="M38" s="4" t="s">
        <v>12</v>
      </c>
      <c r="N38" s="5" t="s">
        <v>33</v>
      </c>
      <c r="O38" s="5" t="s">
        <v>39</v>
      </c>
    </row>
    <row r="39" spans="1:29" x14ac:dyDescent="0.25">
      <c r="A39" s="20" t="s">
        <v>182</v>
      </c>
      <c r="B39" s="100">
        <f>B72</f>
        <v>479170607</v>
      </c>
      <c r="C39" s="101">
        <f t="shared" ref="C39:O39" si="6">C72</f>
        <v>505568523</v>
      </c>
      <c r="D39" s="101">
        <f t="shared" si="6"/>
        <v>541322632.3582226</v>
      </c>
      <c r="E39" s="101">
        <f t="shared" si="6"/>
        <v>576557878.84056795</v>
      </c>
      <c r="F39" s="101">
        <f t="shared" si="6"/>
        <v>617390590.61256468</v>
      </c>
      <c r="G39" s="101">
        <f t="shared" si="6"/>
        <v>652486567.19599092</v>
      </c>
      <c r="H39" s="101">
        <f t="shared" si="6"/>
        <v>693187392.73732281</v>
      </c>
      <c r="I39" s="101">
        <f t="shared" si="6"/>
        <v>726000357.34629273</v>
      </c>
      <c r="J39" s="101">
        <f t="shared" si="6"/>
        <v>759340654.3776356</v>
      </c>
      <c r="K39" s="101">
        <f t="shared" si="6"/>
        <v>793710371.42061102</v>
      </c>
      <c r="L39" s="101">
        <f t="shared" si="6"/>
        <v>824272304.81564331</v>
      </c>
      <c r="M39" s="101">
        <f t="shared" si="6"/>
        <v>855980386.53671086</v>
      </c>
      <c r="N39" s="101">
        <f t="shared" si="6"/>
        <v>889128409.34349895</v>
      </c>
      <c r="O39" s="101">
        <f t="shared" si="6"/>
        <v>923798618.25407279</v>
      </c>
    </row>
    <row r="40" spans="1:29" x14ac:dyDescent="0.25">
      <c r="A40" s="20" t="s">
        <v>183</v>
      </c>
      <c r="B40" s="100">
        <f>B109</f>
        <v>500540241</v>
      </c>
      <c r="C40" s="101">
        <f t="shared" ref="C40:O40" si="7">C109</f>
        <v>519700543.34000003</v>
      </c>
      <c r="D40" s="101">
        <f t="shared" si="7"/>
        <v>553011959</v>
      </c>
      <c r="E40" s="101">
        <f t="shared" si="7"/>
        <v>585892880.64244854</v>
      </c>
      <c r="F40" s="101">
        <f t="shared" si="7"/>
        <v>617380858.44034457</v>
      </c>
      <c r="G40" s="101">
        <f t="shared" si="7"/>
        <v>650134051.82453632</v>
      </c>
      <c r="H40" s="101">
        <f t="shared" si="7"/>
        <v>683906834.91486073</v>
      </c>
      <c r="I40" s="101">
        <f t="shared" si="7"/>
        <v>718051625.32730019</v>
      </c>
      <c r="J40" s="101">
        <f t="shared" si="7"/>
        <v>753290270.83947241</v>
      </c>
      <c r="K40" s="101">
        <f t="shared" si="7"/>
        <v>790428186.08224893</v>
      </c>
      <c r="L40" s="101">
        <f t="shared" si="7"/>
        <v>825560593.35594642</v>
      </c>
      <c r="M40" s="101">
        <f t="shared" si="7"/>
        <v>862622174.56323016</v>
      </c>
      <c r="N40" s="101">
        <f t="shared" si="7"/>
        <v>902096518.37934279</v>
      </c>
      <c r="O40" s="101">
        <f t="shared" si="7"/>
        <v>944174964.25836527</v>
      </c>
    </row>
    <row r="41" spans="1:29" x14ac:dyDescent="0.25">
      <c r="A41" s="20" t="s">
        <v>187</v>
      </c>
      <c r="B41" s="114">
        <f>B82</f>
        <v>0.13290944973193475</v>
      </c>
      <c r="C41" s="114">
        <f t="shared" ref="C41:O41" si="8">C82</f>
        <v>0.15520197039169029</v>
      </c>
      <c r="D41" s="114">
        <f t="shared" si="8"/>
        <v>0.16624432228598521</v>
      </c>
      <c r="E41" s="114">
        <f t="shared" si="8"/>
        <v>0.17284746664071943</v>
      </c>
      <c r="F41" s="114">
        <f t="shared" si="8"/>
        <v>0.16401604712117093</v>
      </c>
      <c r="G41" s="114">
        <f t="shared" si="8"/>
        <v>0.15213455182147576</v>
      </c>
      <c r="H41" s="114">
        <f t="shared" si="8"/>
        <v>0.13105190678040454</v>
      </c>
      <c r="I41" s="114">
        <f t="shared" si="8"/>
        <v>0.11375026512825009</v>
      </c>
      <c r="J41" s="114">
        <f t="shared" si="8"/>
        <v>0.10039712730433581</v>
      </c>
      <c r="K41" s="114">
        <f t="shared" si="8"/>
        <v>9.1527598780109756E-2</v>
      </c>
      <c r="L41" s="114">
        <f t="shared" si="8"/>
        <v>8.9193068338208795E-2</v>
      </c>
      <c r="M41" s="114">
        <f t="shared" si="8"/>
        <v>9.306052268792471E-2</v>
      </c>
      <c r="N41" s="114">
        <f t="shared" si="8"/>
        <v>0.10336386138637323</v>
      </c>
      <c r="O41" s="114">
        <f t="shared" si="8"/>
        <v>0.12033842220804056</v>
      </c>
    </row>
    <row r="42" spans="1:29" x14ac:dyDescent="0.25">
      <c r="A42" s="20" t="s">
        <v>184</v>
      </c>
      <c r="B42" s="17">
        <f>IF(B39&gt;B40,B39-B40,0)</f>
        <v>0</v>
      </c>
      <c r="C42" s="101">
        <f>IF(C39&gt;C40,C40-C39,0)</f>
        <v>0</v>
      </c>
      <c r="D42" s="101">
        <f t="shared" ref="D42:O42" si="9">IF(D39&gt;D40,D40-D39,0)</f>
        <v>0</v>
      </c>
      <c r="E42" s="101">
        <f t="shared" si="9"/>
        <v>0</v>
      </c>
      <c r="F42" s="101">
        <f t="shared" si="9"/>
        <v>-9732.1722201108932</v>
      </c>
      <c r="G42" s="101">
        <f t="shared" si="9"/>
        <v>-2352515.3714545965</v>
      </c>
      <c r="H42" s="101">
        <f t="shared" si="9"/>
        <v>-9280557.8224620819</v>
      </c>
      <c r="I42" s="101">
        <f t="shared" si="9"/>
        <v>-7948732.0189925432</v>
      </c>
      <c r="J42" s="101">
        <f t="shared" si="9"/>
        <v>-6050383.5381631851</v>
      </c>
      <c r="K42" s="101">
        <f t="shared" si="9"/>
        <v>-3282185.3383620977</v>
      </c>
      <c r="L42" s="101">
        <f t="shared" si="9"/>
        <v>0</v>
      </c>
      <c r="M42" s="101">
        <f t="shared" si="9"/>
        <v>0</v>
      </c>
      <c r="N42" s="101">
        <f t="shared" si="9"/>
        <v>0</v>
      </c>
      <c r="O42" s="101">
        <f t="shared" si="9"/>
        <v>0</v>
      </c>
    </row>
    <row r="43" spans="1:29" x14ac:dyDescent="0.25">
      <c r="B43" s="17"/>
      <c r="C43" s="17"/>
      <c r="D43" s="17"/>
      <c r="E43" s="17"/>
      <c r="F43" s="17"/>
      <c r="G43" s="17"/>
      <c r="H43" s="17"/>
      <c r="I43" s="17"/>
      <c r="J43" s="17"/>
      <c r="K43" s="17"/>
      <c r="L43" s="17"/>
      <c r="M43" s="17"/>
      <c r="N43" s="17"/>
      <c r="O43" s="17"/>
    </row>
    <row r="44" spans="1:29" x14ac:dyDescent="0.25">
      <c r="B44" s="17"/>
      <c r="C44" s="17"/>
      <c r="D44" s="17"/>
      <c r="E44" s="17"/>
      <c r="F44" s="17"/>
      <c r="G44" s="17"/>
      <c r="H44" s="17"/>
      <c r="I44" s="17"/>
      <c r="J44" s="17"/>
      <c r="K44" s="17"/>
      <c r="L44" s="17"/>
      <c r="M44" s="17"/>
      <c r="N44" s="17"/>
      <c r="O44" s="17"/>
    </row>
    <row r="45" spans="1:29" x14ac:dyDescent="0.25">
      <c r="A45" s="20" t="s">
        <v>194</v>
      </c>
      <c r="B45" s="5" t="s">
        <v>56</v>
      </c>
      <c r="C45" s="5" t="s">
        <v>2</v>
      </c>
      <c r="D45" s="4" t="s">
        <v>3</v>
      </c>
      <c r="E45" s="4" t="s">
        <v>4</v>
      </c>
      <c r="F45" s="5" t="s">
        <v>5</v>
      </c>
      <c r="G45" s="5" t="s">
        <v>6</v>
      </c>
      <c r="H45" s="4" t="s">
        <v>7</v>
      </c>
      <c r="I45" s="4" t="s">
        <v>8</v>
      </c>
      <c r="J45" s="5" t="s">
        <v>9</v>
      </c>
      <c r="K45" s="5" t="s">
        <v>10</v>
      </c>
      <c r="L45" s="4" t="s">
        <v>11</v>
      </c>
      <c r="M45" s="4" t="s">
        <v>12</v>
      </c>
      <c r="N45" s="5" t="s">
        <v>33</v>
      </c>
      <c r="O45" s="5" t="s">
        <v>39</v>
      </c>
      <c r="R45" s="4" t="s">
        <v>3</v>
      </c>
      <c r="S45" s="4" t="s">
        <v>4</v>
      </c>
      <c r="T45" s="5" t="s">
        <v>5</v>
      </c>
      <c r="U45" s="5" t="s">
        <v>6</v>
      </c>
      <c r="V45" s="4" t="s">
        <v>7</v>
      </c>
      <c r="W45" s="4" t="s">
        <v>8</v>
      </c>
      <c r="X45" s="5" t="s">
        <v>9</v>
      </c>
      <c r="Y45" s="5" t="s">
        <v>10</v>
      </c>
      <c r="Z45" s="4" t="s">
        <v>11</v>
      </c>
      <c r="AA45" s="4" t="s">
        <v>12</v>
      </c>
      <c r="AB45" s="5" t="s">
        <v>33</v>
      </c>
      <c r="AC45" s="5" t="s">
        <v>39</v>
      </c>
    </row>
    <row r="46" spans="1:29" x14ac:dyDescent="0.25">
      <c r="B46" s="17"/>
      <c r="C46" s="17"/>
      <c r="D46" s="17"/>
      <c r="E46" s="17"/>
      <c r="F46" s="17"/>
      <c r="G46" s="17"/>
      <c r="H46" s="17"/>
      <c r="I46" s="17"/>
      <c r="J46" s="17"/>
      <c r="K46" s="17"/>
      <c r="L46" s="17"/>
      <c r="M46" s="17"/>
      <c r="N46" s="17"/>
      <c r="O46" s="17"/>
      <c r="R46" s="17"/>
      <c r="S46" s="17"/>
      <c r="T46" s="17"/>
      <c r="U46" s="17"/>
      <c r="V46" s="17"/>
      <c r="W46" s="17"/>
      <c r="X46" s="17"/>
      <c r="Y46" s="17"/>
      <c r="Z46" s="17"/>
      <c r="AA46" s="17"/>
      <c r="AB46" s="17"/>
      <c r="AC46" s="17"/>
    </row>
    <row r="47" spans="1:29" x14ac:dyDescent="0.25">
      <c r="A47" s="49" t="s">
        <v>158</v>
      </c>
      <c r="B47" s="17"/>
      <c r="C47" s="17"/>
      <c r="D47" s="10">
        <f>IF($H$26="yes",R47,0)</f>
        <v>-4.8752329954510065E-3</v>
      </c>
      <c r="E47" s="10">
        <f t="shared" ref="E47:E56" si="10">IF($H$26="yes",S47,0)</f>
        <v>1.8625306555313248E-3</v>
      </c>
      <c r="F47" s="10">
        <f t="shared" ref="F47:F56" si="11">IF($H$26="yes",T47,0)</f>
        <v>-7.1782522113649216E-3</v>
      </c>
      <c r="G47" s="10">
        <f t="shared" ref="G47:G56" si="12">IF($H$26="yes",U47,0)</f>
        <v>-2.9586981728039197E-3</v>
      </c>
      <c r="H47" s="10">
        <f t="shared" ref="H47:H56" si="13">IF($H$26="yes",V47,0)</f>
        <v>-3.742765101388823E-4</v>
      </c>
      <c r="I47" s="10">
        <f t="shared" ref="I47:I56" si="14">IF($H$26="yes",W47,0)</f>
        <v>1.1031919019028891E-3</v>
      </c>
      <c r="J47" s="10">
        <f t="shared" ref="J47:J56" si="15">IF($H$26="yes",X47,0)</f>
        <v>5.4006814522040703E-3</v>
      </c>
      <c r="K47" s="10">
        <f t="shared" ref="K47:K56" si="16">IF($H$26="yes",Y47,0)</f>
        <v>3.6204658788168143E-3</v>
      </c>
      <c r="L47" s="10">
        <f t="shared" ref="L47:L56" si="17">IF($H$26="yes",Z47,0)</f>
        <v>5.4451402123611992E-4</v>
      </c>
      <c r="M47" s="10">
        <f t="shared" ref="M47:M56" si="18">IF($H$26="yes",AA47,0)</f>
        <v>0</v>
      </c>
      <c r="N47" s="10">
        <f t="shared" ref="N47:N56" si="19">IF($H$26="yes",AB47,0)</f>
        <v>0</v>
      </c>
      <c r="O47" s="10">
        <f t="shared" ref="O47:O56" si="20">IF($H$26="yes",AC47,0)</f>
        <v>0</v>
      </c>
      <c r="R47" s="10">
        <v>-4.8752329954510065E-3</v>
      </c>
      <c r="S47" s="10">
        <v>1.8625306555313248E-3</v>
      </c>
      <c r="T47" s="10">
        <v>-7.1782522113649216E-3</v>
      </c>
      <c r="U47" s="10">
        <v>-2.9586981728039197E-3</v>
      </c>
      <c r="V47" s="10">
        <v>-3.742765101388823E-4</v>
      </c>
      <c r="W47" s="10">
        <v>1.1031919019028891E-3</v>
      </c>
      <c r="X47" s="10">
        <v>5.4006814522040703E-3</v>
      </c>
      <c r="Y47" s="10">
        <v>3.6204658788168143E-3</v>
      </c>
      <c r="Z47" s="10">
        <v>5.4451402123611992E-4</v>
      </c>
      <c r="AA47" s="10">
        <v>0</v>
      </c>
      <c r="AB47" s="10">
        <v>0</v>
      </c>
      <c r="AC47" s="10">
        <v>0</v>
      </c>
    </row>
    <row r="48" spans="1:29" x14ac:dyDescent="0.25">
      <c r="A48" s="49" t="s">
        <v>159</v>
      </c>
      <c r="B48" s="17"/>
      <c r="C48" s="17"/>
      <c r="D48" s="10">
        <f t="shared" ref="D48:D56" si="21">IF($H$26="yes",R48,0)</f>
        <v>4.2048797369787172E-2</v>
      </c>
      <c r="E48" s="10">
        <f t="shared" si="10"/>
        <v>4.1514447027565682E-2</v>
      </c>
      <c r="F48" s="10">
        <f t="shared" si="11"/>
        <v>3.9859693877551061E-2</v>
      </c>
      <c r="G48" s="10">
        <f t="shared" si="12"/>
        <v>3.8331800061330856E-2</v>
      </c>
      <c r="H48" s="10">
        <f t="shared" si="13"/>
        <v>3.691671588895451E-2</v>
      </c>
      <c r="I48" s="10">
        <f t="shared" si="14"/>
        <v>1.9652520649387606E-2</v>
      </c>
      <c r="J48" s="10">
        <f t="shared" si="15"/>
        <v>6.9832402234637492E-3</v>
      </c>
      <c r="K48" s="10">
        <f t="shared" si="16"/>
        <v>4.1608876560332853E-3</v>
      </c>
      <c r="L48" s="10">
        <f t="shared" si="17"/>
        <v>1.3812154696133394E-3</v>
      </c>
      <c r="M48" s="10">
        <f t="shared" si="18"/>
        <v>0</v>
      </c>
      <c r="N48" s="10">
        <f t="shared" si="19"/>
        <v>0</v>
      </c>
      <c r="O48" s="10">
        <f t="shared" si="20"/>
        <v>0</v>
      </c>
      <c r="R48" s="10">
        <v>4.2048797369787172E-2</v>
      </c>
      <c r="S48" s="10">
        <v>4.1514447027565682E-2</v>
      </c>
      <c r="T48" s="10">
        <v>3.9859693877551061E-2</v>
      </c>
      <c r="U48" s="10">
        <v>3.8331800061330856E-2</v>
      </c>
      <c r="V48" s="10">
        <v>3.691671588895451E-2</v>
      </c>
      <c r="W48" s="10">
        <v>1.9652520649387606E-2</v>
      </c>
      <c r="X48" s="10">
        <v>6.9832402234637492E-3</v>
      </c>
      <c r="Y48" s="10">
        <v>4.1608876560332853E-3</v>
      </c>
      <c r="Z48" s="10">
        <v>1.3812154696133394E-3</v>
      </c>
      <c r="AA48" s="10">
        <v>0</v>
      </c>
      <c r="AB48" s="10">
        <v>0</v>
      </c>
      <c r="AC48" s="10">
        <v>0</v>
      </c>
    </row>
    <row r="49" spans="1:29" x14ac:dyDescent="0.25">
      <c r="A49" s="49" t="s">
        <v>160</v>
      </c>
      <c r="B49" s="17"/>
      <c r="C49" s="17"/>
      <c r="D49" s="10">
        <f t="shared" si="21"/>
        <v>4.308663757080522E-2</v>
      </c>
      <c r="E49" s="10">
        <f t="shared" si="10"/>
        <v>4.121784029199671E-2</v>
      </c>
      <c r="F49" s="10">
        <f t="shared" si="11"/>
        <v>3.958618331053354E-2</v>
      </c>
      <c r="G49" s="10">
        <f t="shared" si="12"/>
        <v>3.8078789374126121E-2</v>
      </c>
      <c r="H49" s="10">
        <f t="shared" si="13"/>
        <v>3.6681983837743459E-2</v>
      </c>
      <c r="I49" s="10">
        <f t="shared" si="14"/>
        <v>3.5384027512418648E-2</v>
      </c>
      <c r="J49" s="10">
        <f t="shared" si="15"/>
        <v>3.4174785946265107E-2</v>
      </c>
      <c r="K49" s="10">
        <f t="shared" si="16"/>
        <v>3.3045464278067094E-2</v>
      </c>
      <c r="L49" s="10">
        <f t="shared" si="17"/>
        <v>3.19883929805167E-2</v>
      </c>
      <c r="M49" s="10">
        <f t="shared" si="18"/>
        <v>3.0996853451161988E-2</v>
      </c>
      <c r="N49" s="10">
        <f t="shared" si="19"/>
        <v>3.0996853451161988E-2</v>
      </c>
      <c r="O49" s="10">
        <f t="shared" si="20"/>
        <v>3.0996853451161988E-2</v>
      </c>
      <c r="R49" s="10">
        <v>4.308663757080522E-2</v>
      </c>
      <c r="S49" s="10">
        <v>4.121784029199671E-2</v>
      </c>
      <c r="T49" s="10">
        <v>3.958618331053354E-2</v>
      </c>
      <c r="U49" s="10">
        <v>3.8078789374126121E-2</v>
      </c>
      <c r="V49" s="10">
        <v>3.6681983837743459E-2</v>
      </c>
      <c r="W49" s="10">
        <v>3.5384027512418648E-2</v>
      </c>
      <c r="X49" s="10">
        <v>3.4174785946265107E-2</v>
      </c>
      <c r="Y49" s="10">
        <v>3.3045464278067094E-2</v>
      </c>
      <c r="Z49" s="10">
        <v>3.19883929805167E-2</v>
      </c>
      <c r="AA49" s="10">
        <v>3.0996853451161988E-2</v>
      </c>
      <c r="AB49" s="10">
        <v>3.0996853451161988E-2</v>
      </c>
      <c r="AC49" s="10">
        <v>3.0996853451161988E-2</v>
      </c>
    </row>
    <row r="50" spans="1:29" x14ac:dyDescent="0.25">
      <c r="A50" s="49" t="s">
        <v>161</v>
      </c>
      <c r="B50" s="17"/>
      <c r="C50" s="17"/>
      <c r="D50" s="10">
        <f t="shared" si="21"/>
        <v>3.7899917965545482E-2</v>
      </c>
      <c r="E50" s="10">
        <f t="shared" si="10"/>
        <v>0.04</v>
      </c>
      <c r="F50" s="10">
        <f t="shared" si="11"/>
        <v>3.3372711163615065E-2</v>
      </c>
      <c r="G50" s="10">
        <f t="shared" si="12"/>
        <v>2.915118605315814E-2</v>
      </c>
      <c r="H50" s="10">
        <f t="shared" si="13"/>
        <v>2.8325465148569817E-2</v>
      </c>
      <c r="I50" s="10">
        <f t="shared" si="14"/>
        <v>3.0218741560896545E-2</v>
      </c>
      <c r="J50" s="10">
        <f t="shared" si="15"/>
        <v>2.4142179349393222E-2</v>
      </c>
      <c r="K50" s="10">
        <f t="shared" si="16"/>
        <v>2.0476068594829755E-2</v>
      </c>
      <c r="L50" s="10">
        <f t="shared" si="17"/>
        <v>2.0065211938800953E-2</v>
      </c>
      <c r="M50" s="10">
        <f t="shared" si="18"/>
        <v>1.9670518809933535E-2</v>
      </c>
      <c r="N50" s="10">
        <f t="shared" si="19"/>
        <v>1.9670518809933535E-2</v>
      </c>
      <c r="O50" s="10">
        <f t="shared" si="20"/>
        <v>1.9670518809933535E-2</v>
      </c>
      <c r="R50" s="10">
        <v>3.7899917965545482E-2</v>
      </c>
      <c r="S50" s="10">
        <v>0.04</v>
      </c>
      <c r="T50" s="10">
        <v>3.3372711163615065E-2</v>
      </c>
      <c r="U50" s="10">
        <v>2.915118605315814E-2</v>
      </c>
      <c r="V50" s="10">
        <v>2.8325465148569817E-2</v>
      </c>
      <c r="W50" s="10">
        <v>3.0218741560896545E-2</v>
      </c>
      <c r="X50" s="10">
        <v>2.4142179349393222E-2</v>
      </c>
      <c r="Y50" s="10">
        <v>2.0476068594829755E-2</v>
      </c>
      <c r="Z50" s="10">
        <v>2.0065211938800953E-2</v>
      </c>
      <c r="AA50" s="10">
        <v>1.9670518809933535E-2</v>
      </c>
      <c r="AB50" s="10">
        <v>1.9670518809933535E-2</v>
      </c>
      <c r="AC50" s="10">
        <v>1.9670518809933535E-2</v>
      </c>
    </row>
    <row r="51" spans="1:29" x14ac:dyDescent="0.25">
      <c r="A51" s="49" t="s">
        <v>162</v>
      </c>
      <c r="B51" s="17"/>
      <c r="C51" s="17"/>
      <c r="D51" s="10">
        <f t="shared" si="21"/>
        <v>0.10045662100456632</v>
      </c>
      <c r="E51" s="10">
        <f t="shared" si="10"/>
        <v>6.639004149377592E-2</v>
      </c>
      <c r="F51" s="10">
        <f t="shared" si="11"/>
        <v>6.2256809338521402E-2</v>
      </c>
      <c r="G51" s="10">
        <f t="shared" si="12"/>
        <v>5.8608058608058622E-2</v>
      </c>
      <c r="H51" s="10">
        <f t="shared" si="13"/>
        <v>0</v>
      </c>
      <c r="I51" s="10">
        <f t="shared" si="14"/>
        <v>0</v>
      </c>
      <c r="J51" s="10">
        <f t="shared" si="15"/>
        <v>0</v>
      </c>
      <c r="K51" s="10">
        <f t="shared" si="16"/>
        <v>0</v>
      </c>
      <c r="L51" s="10">
        <f t="shared" si="17"/>
        <v>0</v>
      </c>
      <c r="M51" s="10">
        <f t="shared" si="18"/>
        <v>0</v>
      </c>
      <c r="N51" s="10">
        <f t="shared" si="19"/>
        <v>0</v>
      </c>
      <c r="O51" s="10">
        <f t="shared" si="20"/>
        <v>0</v>
      </c>
      <c r="R51" s="10">
        <v>0.10045662100456632</v>
      </c>
      <c r="S51" s="10">
        <v>6.639004149377592E-2</v>
      </c>
      <c r="T51" s="10">
        <v>6.2256809338521402E-2</v>
      </c>
      <c r="U51" s="10">
        <v>5.8608058608058622E-2</v>
      </c>
      <c r="V51" s="10">
        <v>0</v>
      </c>
      <c r="W51" s="10">
        <v>0</v>
      </c>
      <c r="X51" s="10">
        <v>0</v>
      </c>
      <c r="Y51" s="10">
        <v>0</v>
      </c>
      <c r="Z51" s="10">
        <v>0</v>
      </c>
      <c r="AA51" s="10">
        <v>0</v>
      </c>
      <c r="AB51" s="10">
        <v>0</v>
      </c>
      <c r="AC51" s="10">
        <v>0</v>
      </c>
    </row>
    <row r="52" spans="1:29" x14ac:dyDescent="0.25">
      <c r="A52" s="49" t="s">
        <v>163</v>
      </c>
      <c r="B52" s="17"/>
      <c r="C52" s="17"/>
      <c r="D52" s="10">
        <f t="shared" si="21"/>
        <v>3.8011695906432719E-2</v>
      </c>
      <c r="E52" s="10">
        <f t="shared" si="10"/>
        <v>0</v>
      </c>
      <c r="F52" s="10">
        <f t="shared" si="11"/>
        <v>0</v>
      </c>
      <c r="G52" s="10">
        <f t="shared" si="12"/>
        <v>0</v>
      </c>
      <c r="H52" s="10">
        <f t="shared" si="13"/>
        <v>0</v>
      </c>
      <c r="I52" s="10">
        <f t="shared" si="14"/>
        <v>0</v>
      </c>
      <c r="J52" s="10">
        <f t="shared" si="15"/>
        <v>0</v>
      </c>
      <c r="K52" s="10">
        <f t="shared" si="16"/>
        <v>0</v>
      </c>
      <c r="L52" s="10">
        <f t="shared" si="17"/>
        <v>0</v>
      </c>
      <c r="M52" s="10">
        <f t="shared" si="18"/>
        <v>0</v>
      </c>
      <c r="N52" s="10">
        <f t="shared" si="19"/>
        <v>0</v>
      </c>
      <c r="O52" s="10">
        <f t="shared" si="20"/>
        <v>0</v>
      </c>
      <c r="R52" s="10">
        <v>3.8011695906432719E-2</v>
      </c>
      <c r="S52" s="10">
        <v>0</v>
      </c>
      <c r="T52" s="10">
        <v>0</v>
      </c>
      <c r="U52" s="10">
        <v>0</v>
      </c>
      <c r="V52" s="10">
        <v>0</v>
      </c>
      <c r="W52" s="10">
        <v>0</v>
      </c>
      <c r="X52" s="10">
        <v>0</v>
      </c>
      <c r="Y52" s="10">
        <v>0</v>
      </c>
      <c r="Z52" s="10">
        <v>0</v>
      </c>
      <c r="AA52" s="10">
        <v>0</v>
      </c>
      <c r="AB52" s="10">
        <v>0</v>
      </c>
      <c r="AC52" s="10">
        <v>0</v>
      </c>
    </row>
    <row r="53" spans="1:29" x14ac:dyDescent="0.25">
      <c r="A53" s="49" t="s">
        <v>164</v>
      </c>
      <c r="B53" s="17"/>
      <c r="C53" s="17"/>
      <c r="D53" s="10">
        <f t="shared" si="21"/>
        <v>0.02</v>
      </c>
      <c r="E53" s="10">
        <f t="shared" si="10"/>
        <v>0.02</v>
      </c>
      <c r="F53" s="10">
        <f t="shared" si="11"/>
        <v>0.02</v>
      </c>
      <c r="G53" s="10">
        <f t="shared" si="12"/>
        <v>0.02</v>
      </c>
      <c r="H53" s="10">
        <f t="shared" si="13"/>
        <v>0.02</v>
      </c>
      <c r="I53" s="10">
        <f t="shared" si="14"/>
        <v>0.02</v>
      </c>
      <c r="J53" s="10">
        <f t="shared" si="15"/>
        <v>0.02</v>
      </c>
      <c r="K53" s="10">
        <f t="shared" si="16"/>
        <v>0.02</v>
      </c>
      <c r="L53" s="10">
        <f t="shared" si="17"/>
        <v>0.02</v>
      </c>
      <c r="M53" s="10">
        <f t="shared" si="18"/>
        <v>0.02</v>
      </c>
      <c r="N53" s="10">
        <f t="shared" si="19"/>
        <v>0.02</v>
      </c>
      <c r="O53" s="10">
        <f t="shared" si="20"/>
        <v>0.02</v>
      </c>
      <c r="R53" s="113">
        <v>0.02</v>
      </c>
      <c r="S53" s="113">
        <v>0.02</v>
      </c>
      <c r="T53" s="113">
        <v>0.02</v>
      </c>
      <c r="U53" s="113">
        <v>0.02</v>
      </c>
      <c r="V53" s="113">
        <v>0.02</v>
      </c>
      <c r="W53" s="113">
        <v>0.02</v>
      </c>
      <c r="X53" s="113">
        <v>0.02</v>
      </c>
      <c r="Y53" s="113">
        <v>0.02</v>
      </c>
      <c r="Z53" s="113">
        <v>0.02</v>
      </c>
      <c r="AA53" s="113">
        <v>0.02</v>
      </c>
      <c r="AB53" s="113">
        <v>0.02</v>
      </c>
      <c r="AC53" s="113">
        <v>0.02</v>
      </c>
    </row>
    <row r="54" spans="1:29" x14ac:dyDescent="0.25">
      <c r="A54" s="49" t="s">
        <v>165</v>
      </c>
      <c r="B54" s="17"/>
      <c r="C54" s="17"/>
      <c r="D54" s="10">
        <f t="shared" si="21"/>
        <v>0.12000000000000011</v>
      </c>
      <c r="E54" s="10">
        <f t="shared" si="10"/>
        <v>0.11999999999999988</v>
      </c>
      <c r="F54" s="10">
        <f t="shared" si="11"/>
        <v>0.10000000000000009</v>
      </c>
      <c r="G54" s="10">
        <f t="shared" si="12"/>
        <v>8.7496702592704034E-2</v>
      </c>
      <c r="H54" s="10">
        <f t="shared" si="13"/>
        <v>7.9999999999999849E-2</v>
      </c>
      <c r="I54" s="10">
        <f t="shared" si="14"/>
        <v>8.0000000000000071E-2</v>
      </c>
      <c r="J54" s="10">
        <f t="shared" si="15"/>
        <v>8.0000000000000293E-2</v>
      </c>
      <c r="K54" s="10">
        <f t="shared" si="16"/>
        <v>8.0000000000000071E-2</v>
      </c>
      <c r="L54" s="10">
        <f t="shared" si="17"/>
        <v>6.0000000000000053E-2</v>
      </c>
      <c r="M54" s="10">
        <f t="shared" si="18"/>
        <v>6.0000000000000053E-2</v>
      </c>
      <c r="N54" s="10">
        <f t="shared" si="19"/>
        <v>6.0000000000000053E-2</v>
      </c>
      <c r="O54" s="10">
        <f t="shared" si="20"/>
        <v>6.0000000000000053E-2</v>
      </c>
      <c r="R54" s="10">
        <v>0.12000000000000011</v>
      </c>
      <c r="S54" s="10">
        <v>0.11999999999999988</v>
      </c>
      <c r="T54" s="10">
        <v>0.10000000000000009</v>
      </c>
      <c r="U54" s="10">
        <v>8.7496702592704034E-2</v>
      </c>
      <c r="V54" s="10">
        <v>7.9999999999999849E-2</v>
      </c>
      <c r="W54" s="10">
        <v>8.0000000000000071E-2</v>
      </c>
      <c r="X54" s="10">
        <v>8.0000000000000293E-2</v>
      </c>
      <c r="Y54" s="10">
        <v>8.0000000000000071E-2</v>
      </c>
      <c r="Z54" s="10">
        <v>6.0000000000000053E-2</v>
      </c>
      <c r="AA54" s="10">
        <v>6.0000000000000053E-2</v>
      </c>
      <c r="AB54" s="10">
        <v>6.0000000000000053E-2</v>
      </c>
      <c r="AC54" s="10">
        <v>6.0000000000000053E-2</v>
      </c>
    </row>
    <row r="55" spans="1:29" x14ac:dyDescent="0.25">
      <c r="A55" s="49" t="s">
        <v>166</v>
      </c>
      <c r="B55" s="17"/>
      <c r="C55" s="17"/>
      <c r="D55" s="10">
        <f t="shared" si="21"/>
        <v>0.12000000000000011</v>
      </c>
      <c r="E55" s="10">
        <f t="shared" si="10"/>
        <v>0.11999999999999988</v>
      </c>
      <c r="F55" s="10">
        <f t="shared" si="11"/>
        <v>0.10000000000000009</v>
      </c>
      <c r="G55" s="10">
        <f t="shared" si="12"/>
        <v>8.7496702592704034E-2</v>
      </c>
      <c r="H55" s="10">
        <f t="shared" si="13"/>
        <v>7.9999999999999849E-2</v>
      </c>
      <c r="I55" s="10">
        <f t="shared" si="14"/>
        <v>8.0000000000000071E-2</v>
      </c>
      <c r="J55" s="10">
        <f t="shared" si="15"/>
        <v>8.0000000000000293E-2</v>
      </c>
      <c r="K55" s="10">
        <f t="shared" si="16"/>
        <v>8.0000000000000071E-2</v>
      </c>
      <c r="L55" s="10">
        <f t="shared" si="17"/>
        <v>6.0000000000000053E-2</v>
      </c>
      <c r="M55" s="10">
        <f t="shared" si="18"/>
        <v>6.0000000000000053E-2</v>
      </c>
      <c r="N55" s="10">
        <f t="shared" si="19"/>
        <v>6.0000000000000053E-2</v>
      </c>
      <c r="O55" s="10">
        <f t="shared" si="20"/>
        <v>6.0000000000000053E-2</v>
      </c>
      <c r="R55" s="10">
        <v>0.12000000000000011</v>
      </c>
      <c r="S55" s="10">
        <v>0.11999999999999988</v>
      </c>
      <c r="T55" s="10">
        <v>0.10000000000000009</v>
      </c>
      <c r="U55" s="10">
        <v>8.7496702592704034E-2</v>
      </c>
      <c r="V55" s="10">
        <v>7.9999999999999849E-2</v>
      </c>
      <c r="W55" s="10">
        <v>8.0000000000000071E-2</v>
      </c>
      <c r="X55" s="10">
        <v>8.0000000000000293E-2</v>
      </c>
      <c r="Y55" s="10">
        <v>8.0000000000000071E-2</v>
      </c>
      <c r="Z55" s="10">
        <v>6.0000000000000053E-2</v>
      </c>
      <c r="AA55" s="10">
        <v>6.0000000000000053E-2</v>
      </c>
      <c r="AB55" s="10">
        <v>6.0000000000000053E-2</v>
      </c>
      <c r="AC55" s="10">
        <v>6.0000000000000053E-2</v>
      </c>
    </row>
    <row r="56" spans="1:29" x14ac:dyDescent="0.25">
      <c r="A56" s="49" t="s">
        <v>167</v>
      </c>
      <c r="B56" s="17"/>
      <c r="C56" s="17"/>
      <c r="D56" s="10">
        <f t="shared" si="21"/>
        <v>0.03</v>
      </c>
      <c r="E56" s="10">
        <f t="shared" si="10"/>
        <v>0.03</v>
      </c>
      <c r="F56" s="10">
        <f t="shared" si="11"/>
        <v>0.03</v>
      </c>
      <c r="G56" s="10">
        <f t="shared" si="12"/>
        <v>0.03</v>
      </c>
      <c r="H56" s="10">
        <f t="shared" si="13"/>
        <v>0.03</v>
      </c>
      <c r="I56" s="10">
        <f t="shared" si="14"/>
        <v>0.03</v>
      </c>
      <c r="J56" s="10">
        <f t="shared" si="15"/>
        <v>0.03</v>
      </c>
      <c r="K56" s="10">
        <f t="shared" si="16"/>
        <v>0.03</v>
      </c>
      <c r="L56" s="10">
        <f t="shared" si="17"/>
        <v>0.03</v>
      </c>
      <c r="M56" s="10">
        <f t="shared" si="18"/>
        <v>0.03</v>
      </c>
      <c r="N56" s="10">
        <f t="shared" si="19"/>
        <v>0.03</v>
      </c>
      <c r="O56" s="10">
        <f t="shared" si="20"/>
        <v>0.03</v>
      </c>
      <c r="R56" s="112">
        <v>0.03</v>
      </c>
      <c r="S56" s="112">
        <v>0.03</v>
      </c>
      <c r="T56" s="112">
        <v>0.03</v>
      </c>
      <c r="U56" s="112">
        <v>0.03</v>
      </c>
      <c r="V56" s="112">
        <v>0.03</v>
      </c>
      <c r="W56" s="112">
        <v>0.03</v>
      </c>
      <c r="X56" s="112">
        <v>0.03</v>
      </c>
      <c r="Y56" s="112">
        <v>0.03</v>
      </c>
      <c r="Z56" s="112">
        <v>0.03</v>
      </c>
      <c r="AA56" s="112">
        <v>0.03</v>
      </c>
      <c r="AB56" s="112">
        <v>0.03</v>
      </c>
      <c r="AC56" s="112">
        <v>0.03</v>
      </c>
    </row>
    <row r="57" spans="1:29" x14ac:dyDescent="0.25">
      <c r="B57" s="17"/>
      <c r="C57" s="17"/>
      <c r="D57" s="17"/>
      <c r="E57" s="17"/>
      <c r="F57" s="17"/>
      <c r="G57" s="17"/>
      <c r="H57" s="17"/>
      <c r="I57" s="17"/>
      <c r="J57" s="17"/>
      <c r="K57" s="17"/>
      <c r="L57" s="17"/>
      <c r="M57" s="17"/>
      <c r="N57" s="17"/>
      <c r="O57" s="17"/>
    </row>
    <row r="58" spans="1:29" x14ac:dyDescent="0.25">
      <c r="B58" s="17"/>
      <c r="C58" s="17"/>
      <c r="D58" s="17"/>
      <c r="E58" s="17"/>
      <c r="F58" s="17"/>
      <c r="G58" s="17"/>
      <c r="H58" s="17"/>
      <c r="I58" s="17"/>
      <c r="J58" s="17"/>
      <c r="K58" s="17"/>
      <c r="L58" s="17"/>
      <c r="M58" s="17"/>
      <c r="N58" s="17"/>
      <c r="O58" s="17"/>
    </row>
    <row r="59" spans="1:29" x14ac:dyDescent="0.25">
      <c r="B59" s="17"/>
      <c r="C59" s="17"/>
      <c r="D59" s="17"/>
      <c r="E59" s="17"/>
      <c r="F59" s="17"/>
      <c r="G59" s="17"/>
      <c r="H59" s="17"/>
      <c r="I59" s="17"/>
      <c r="J59" s="17"/>
      <c r="K59" s="17"/>
      <c r="L59" s="17"/>
      <c r="M59" s="17"/>
      <c r="N59" s="17"/>
      <c r="O59" s="17"/>
    </row>
    <row r="60" spans="1:29" x14ac:dyDescent="0.25">
      <c r="B60" s="17"/>
      <c r="C60" s="17"/>
      <c r="D60" s="17"/>
      <c r="E60" s="17"/>
      <c r="F60" s="17"/>
      <c r="G60" s="17"/>
      <c r="H60" s="17"/>
      <c r="I60" s="17"/>
      <c r="J60" s="17"/>
      <c r="K60" s="17"/>
      <c r="L60" s="17"/>
      <c r="M60" s="17"/>
      <c r="N60" s="17"/>
      <c r="O60" s="17"/>
    </row>
    <row r="61" spans="1:29" x14ac:dyDescent="0.25">
      <c r="B61" s="5" t="s">
        <v>56</v>
      </c>
      <c r="C61" s="5" t="s">
        <v>2</v>
      </c>
      <c r="D61" s="4" t="s">
        <v>3</v>
      </c>
      <c r="E61" s="4" t="s">
        <v>4</v>
      </c>
      <c r="F61" s="5" t="s">
        <v>5</v>
      </c>
      <c r="G61" s="5" t="s">
        <v>6</v>
      </c>
      <c r="H61" s="4" t="s">
        <v>7</v>
      </c>
      <c r="I61" s="4" t="s">
        <v>8</v>
      </c>
      <c r="J61" s="5" t="s">
        <v>9</v>
      </c>
      <c r="K61" s="5" t="s">
        <v>10</v>
      </c>
      <c r="L61" s="4" t="s">
        <v>11</v>
      </c>
      <c r="M61" s="4" t="s">
        <v>12</v>
      </c>
      <c r="N61" s="5" t="s">
        <v>33</v>
      </c>
      <c r="O61" s="5" t="s">
        <v>39</v>
      </c>
    </row>
    <row r="62" spans="1:29" ht="16.5" thickBot="1" x14ac:dyDescent="0.3">
      <c r="A62" s="20" t="s">
        <v>136</v>
      </c>
      <c r="B62" s="104"/>
      <c r="C62" s="104"/>
      <c r="D62" s="103">
        <v>4.2051066467645892E-2</v>
      </c>
      <c r="E62" s="103">
        <v>3.0554020611963884E-2</v>
      </c>
      <c r="F62" s="104">
        <v>4.2051066467645892E-2</v>
      </c>
      <c r="G62" s="104">
        <v>3.0554020611963884E-2</v>
      </c>
      <c r="H62" s="103">
        <v>4.2051066467645892E-2</v>
      </c>
      <c r="I62" s="103">
        <v>3.0554020611963884E-2</v>
      </c>
      <c r="J62" s="104">
        <v>3.0554020611963884E-2</v>
      </c>
      <c r="K62" s="104">
        <v>3.0554020611963884E-2</v>
      </c>
      <c r="L62" s="103">
        <v>3.0554020611963884E-2</v>
      </c>
      <c r="M62" s="103">
        <v>3.0554020611963884E-2</v>
      </c>
      <c r="N62" s="104">
        <v>3.0554020611963884E-2</v>
      </c>
      <c r="O62" s="104">
        <v>3.0554020611963884E-2</v>
      </c>
    </row>
    <row r="63" spans="1:29" ht="16.5" thickTop="1" x14ac:dyDescent="0.25">
      <c r="B63" s="17"/>
      <c r="C63" s="17"/>
      <c r="D63" s="17"/>
      <c r="E63" s="17"/>
      <c r="F63" s="17"/>
      <c r="G63" s="17"/>
      <c r="H63" s="17"/>
      <c r="I63" s="17"/>
      <c r="J63" s="17"/>
      <c r="K63" s="17"/>
      <c r="L63" s="17"/>
      <c r="M63" s="17"/>
      <c r="N63" s="17"/>
      <c r="O63" s="17"/>
    </row>
    <row r="64" spans="1:29" x14ac:dyDescent="0.25">
      <c r="A64" s="20" t="s">
        <v>137</v>
      </c>
      <c r="B64" s="102"/>
      <c r="C64" s="17"/>
      <c r="D64" s="17"/>
      <c r="E64" s="17"/>
      <c r="F64" s="17"/>
      <c r="G64" s="17"/>
      <c r="H64" s="17"/>
      <c r="I64" s="17"/>
      <c r="J64" s="17"/>
      <c r="K64" s="17"/>
      <c r="L64" s="17"/>
      <c r="M64" s="17"/>
      <c r="N64" s="17"/>
      <c r="O64" s="17"/>
    </row>
    <row r="65" spans="1:15" x14ac:dyDescent="0.25">
      <c r="A65" t="s">
        <v>138</v>
      </c>
      <c r="B65" s="17"/>
      <c r="C65" s="105"/>
      <c r="D65" s="105">
        <v>1000000</v>
      </c>
      <c r="E65" s="105">
        <f>IF(D26="yes",0,1400000)</f>
        <v>1400000</v>
      </c>
      <c r="F65" s="105">
        <f>IF(D26="yes",0,1200000)</f>
        <v>1200000</v>
      </c>
      <c r="G65" s="105">
        <f>IF(D26="yes",0,1200000)</f>
        <v>1200000</v>
      </c>
      <c r="H65" s="105">
        <f>IF(D26="yes",0,700000)</f>
        <v>700000</v>
      </c>
      <c r="I65" s="105"/>
      <c r="J65" s="105"/>
      <c r="K65" s="105"/>
      <c r="L65" s="105"/>
      <c r="M65" s="105"/>
      <c r="N65" s="105"/>
      <c r="O65" s="105"/>
    </row>
    <row r="66" spans="1:15" x14ac:dyDescent="0.25">
      <c r="A66" t="s">
        <v>139</v>
      </c>
      <c r="B66" s="17"/>
      <c r="C66" s="105"/>
      <c r="D66" s="105">
        <v>1500000</v>
      </c>
      <c r="E66" s="105">
        <f>IF(D26="yes",0,(3340700-1500000))</f>
        <v>1840700</v>
      </c>
      <c r="F66" s="105">
        <f>IF(D26="yes",0,(4033133-3340700))</f>
        <v>692433</v>
      </c>
      <c r="G66" s="105"/>
      <c r="H66" s="105"/>
      <c r="I66" s="105"/>
      <c r="J66" s="105"/>
      <c r="K66" s="105"/>
      <c r="L66" s="105"/>
      <c r="M66" s="105"/>
      <c r="N66" s="105"/>
      <c r="O66" s="105"/>
    </row>
    <row r="67" spans="1:15" x14ac:dyDescent="0.25">
      <c r="A67" t="s">
        <v>140</v>
      </c>
      <c r="B67" s="17"/>
      <c r="C67" s="105"/>
      <c r="D67" s="105">
        <v>5000000</v>
      </c>
      <c r="E67" s="105">
        <f t="shared" ref="E67:K67" si="22">IF($D26="yes",0,5000000)</f>
        <v>5000000</v>
      </c>
      <c r="F67" s="105">
        <f t="shared" si="22"/>
        <v>5000000</v>
      </c>
      <c r="G67" s="105">
        <f t="shared" si="22"/>
        <v>5000000</v>
      </c>
      <c r="H67" s="105">
        <f t="shared" si="22"/>
        <v>5000000</v>
      </c>
      <c r="I67" s="105">
        <f t="shared" si="22"/>
        <v>5000000</v>
      </c>
      <c r="J67" s="105">
        <f t="shared" si="22"/>
        <v>5000000</v>
      </c>
      <c r="K67" s="105">
        <f t="shared" si="22"/>
        <v>5000000</v>
      </c>
      <c r="L67" s="105">
        <f>0.03*45000000</f>
        <v>1350000</v>
      </c>
      <c r="M67" s="105">
        <f>0.03*(45000000+L67)</f>
        <v>1390500</v>
      </c>
      <c r="N67" s="105">
        <f>0.03*(45000000+L67+M67)</f>
        <v>1432215</v>
      </c>
      <c r="O67" s="105">
        <f>0.03*(L67+M67+N67+45000000)</f>
        <v>1475181.45</v>
      </c>
    </row>
    <row r="68" spans="1:15" x14ac:dyDescent="0.25">
      <c r="A68" t="s">
        <v>148</v>
      </c>
      <c r="B68" s="17"/>
      <c r="C68" s="105"/>
      <c r="D68" s="105">
        <v>2500000</v>
      </c>
      <c r="E68" s="105">
        <f>IF($D26="yes",0,2500000)</f>
        <v>2500000</v>
      </c>
      <c r="F68" s="105">
        <f t="shared" ref="F68:G68" si="23">IF($D26="yes",0,2500000)</f>
        <v>2500000</v>
      </c>
      <c r="G68" s="105">
        <f t="shared" si="23"/>
        <v>2500000</v>
      </c>
      <c r="H68" s="105"/>
      <c r="I68" s="105"/>
      <c r="J68" s="105"/>
      <c r="K68" s="105"/>
      <c r="L68" s="105"/>
      <c r="M68" s="105"/>
      <c r="N68" s="105"/>
      <c r="O68" s="105"/>
    </row>
    <row r="69" spans="1:15" x14ac:dyDescent="0.25">
      <c r="A69" t="s">
        <v>169</v>
      </c>
      <c r="B69" s="17"/>
      <c r="C69" s="105"/>
      <c r="D69" s="105">
        <f>0.5*0.9*0.8*(D97-C97)</f>
        <v>4494413.7935999995</v>
      </c>
      <c r="E69" s="105">
        <f>0.5*0.9*0.8*((1+E54)*D97-D97)+0.65*(((1+E47)*D90-D90)+((1+E48)*D91-D91)+((1+E49)*D92-D92)+((1+E50)*D93-D93)+((1+E51)*D94-D94)+((1+E52)*D95-D95))</f>
        <v>7954963.6155496929</v>
      </c>
      <c r="F69" s="105">
        <f t="shared" ref="F69:O69" si="24">0.5*0.9*0.8*((1+F54)*E97-E97)+0.65*(((1+F47)*E90-E90)+((1+F48)*E91-E91)+((1+F49)*E92-E92)+((1+F50)*E93-E93)+((1+F51)*E94-E94)+((1+F52)*E95-E95))</f>
        <v>7195405.0864270972</v>
      </c>
      <c r="G69" s="105">
        <f t="shared" si="24"/>
        <v>7532211.7522173813</v>
      </c>
      <c r="H69" s="105">
        <f t="shared" si="24"/>
        <v>7563069.5349271819</v>
      </c>
      <c r="I69" s="105">
        <f t="shared" si="24"/>
        <v>6633302.7233202681</v>
      </c>
      <c r="J69" s="105">
        <f t="shared" si="24"/>
        <v>6158067.1486911112</v>
      </c>
      <c r="K69" s="105">
        <f t="shared" si="24"/>
        <v>6168807.0376189956</v>
      </c>
      <c r="L69" s="105">
        <f t="shared" si="24"/>
        <v>4960890.3467174331</v>
      </c>
      <c r="M69" s="105">
        <f t="shared" si="24"/>
        <v>5132748.7298593344</v>
      </c>
      <c r="N69" s="105">
        <f t="shared" si="24"/>
        <v>5562165.4331085999</v>
      </c>
      <c r="O69" s="105">
        <f t="shared" si="24"/>
        <v>6028579.7148099402</v>
      </c>
    </row>
    <row r="70" spans="1:15" x14ac:dyDescent="0.25">
      <c r="A70" t="s">
        <v>168</v>
      </c>
      <c r="B70" s="17"/>
      <c r="C70" s="105"/>
      <c r="D70" s="105"/>
      <c r="E70" s="105"/>
      <c r="F70" s="105"/>
      <c r="G70" s="105"/>
      <c r="H70" s="105"/>
      <c r="I70" s="105"/>
      <c r="J70" s="105"/>
      <c r="K70" s="105"/>
      <c r="L70" s="105"/>
      <c r="M70" s="105"/>
      <c r="N70" s="105"/>
      <c r="O70" s="105"/>
    </row>
    <row r="71" spans="1:15" x14ac:dyDescent="0.25">
      <c r="B71" s="17"/>
      <c r="C71" s="17"/>
      <c r="D71" s="17"/>
      <c r="E71" s="17"/>
      <c r="F71" s="17"/>
      <c r="G71" s="17"/>
      <c r="H71" s="17"/>
      <c r="I71" s="17"/>
      <c r="J71" s="17"/>
      <c r="K71" s="17"/>
      <c r="L71" s="17"/>
      <c r="M71" s="17"/>
      <c r="N71" s="17"/>
      <c r="O71" s="17"/>
    </row>
    <row r="72" spans="1:15" x14ac:dyDescent="0.25">
      <c r="A72" s="20" t="s">
        <v>141</v>
      </c>
      <c r="B72" s="106">
        <f>B79</f>
        <v>479170607</v>
      </c>
      <c r="C72" s="106">
        <f>C79</f>
        <v>505568523</v>
      </c>
      <c r="D72" s="106">
        <f>C72*(1+D62)+SUM(D65:D70)</f>
        <v>541322632.3582226</v>
      </c>
      <c r="E72" s="106">
        <f t="shared" ref="E72:N72" si="25">D72*(1+E62)+SUM(E65:E70)</f>
        <v>576557878.84056795</v>
      </c>
      <c r="F72" s="106">
        <f t="shared" si="25"/>
        <v>617390590.61256468</v>
      </c>
      <c r="G72" s="106">
        <f t="shared" si="25"/>
        <v>652486567.19599092</v>
      </c>
      <c r="H72" s="106">
        <f t="shared" si="25"/>
        <v>693187392.73732281</v>
      </c>
      <c r="I72" s="106">
        <f t="shared" si="25"/>
        <v>726000357.34629273</v>
      </c>
      <c r="J72" s="106">
        <f t="shared" si="25"/>
        <v>759340654.3776356</v>
      </c>
      <c r="K72" s="106">
        <f t="shared" si="25"/>
        <v>793710371.42061102</v>
      </c>
      <c r="L72" s="106">
        <f t="shared" si="25"/>
        <v>824272304.81564331</v>
      </c>
      <c r="M72" s="106">
        <f t="shared" si="25"/>
        <v>855980386.53671086</v>
      </c>
      <c r="N72" s="106">
        <f t="shared" si="25"/>
        <v>889128409.34349895</v>
      </c>
      <c r="O72" s="106">
        <f>N72*(1+O62)+SUM(O65:O70)</f>
        <v>923798618.25407279</v>
      </c>
    </row>
    <row r="73" spans="1:15" x14ac:dyDescent="0.25">
      <c r="B73" s="17"/>
      <c r="C73" s="17"/>
      <c r="D73" s="17"/>
      <c r="E73" s="17"/>
      <c r="F73" s="17"/>
      <c r="G73" s="17"/>
      <c r="H73" s="17"/>
      <c r="I73" s="17"/>
      <c r="J73" s="17"/>
      <c r="K73" s="17"/>
      <c r="L73" s="17"/>
      <c r="M73" s="17"/>
      <c r="N73" s="17"/>
      <c r="O73" s="17"/>
    </row>
    <row r="74" spans="1:15" x14ac:dyDescent="0.25">
      <c r="A74" s="81" t="s">
        <v>142</v>
      </c>
      <c r="B74" s="90">
        <v>368290982</v>
      </c>
      <c r="C74" s="84">
        <v>389213854</v>
      </c>
      <c r="D74" s="107">
        <v>415566192</v>
      </c>
      <c r="E74" s="108"/>
      <c r="F74" s="17"/>
      <c r="G74" s="17"/>
      <c r="H74" s="17"/>
      <c r="I74" s="17"/>
      <c r="J74" s="17"/>
      <c r="K74" s="17"/>
      <c r="L74" s="17"/>
      <c r="M74" s="17"/>
      <c r="N74" s="17"/>
      <c r="O74" s="17"/>
    </row>
    <row r="75" spans="1:15" x14ac:dyDescent="0.25">
      <c r="A75" s="81" t="s">
        <v>145</v>
      </c>
      <c r="B75" s="90">
        <v>90110425</v>
      </c>
      <c r="C75" s="84">
        <v>95510738.000000015</v>
      </c>
      <c r="D75" s="107">
        <f>127432305-24500000</f>
        <v>102932305</v>
      </c>
      <c r="E75" s="17"/>
      <c r="F75" s="17"/>
      <c r="G75" s="17"/>
      <c r="H75" s="17"/>
      <c r="I75" s="17"/>
      <c r="J75" s="17"/>
      <c r="K75" s="17"/>
      <c r="L75" s="17"/>
      <c r="M75" s="17"/>
      <c r="N75" s="17"/>
      <c r="O75" s="17"/>
    </row>
    <row r="76" spans="1:15" x14ac:dyDescent="0.25">
      <c r="A76" s="81" t="s">
        <v>86</v>
      </c>
      <c r="B76" s="90">
        <v>6502562</v>
      </c>
      <c r="C76" s="84">
        <v>6706053</v>
      </c>
      <c r="D76" s="107">
        <v>6150000</v>
      </c>
      <c r="E76" s="17"/>
      <c r="F76" s="17"/>
      <c r="G76" s="17"/>
      <c r="H76" s="17"/>
      <c r="I76" s="17"/>
      <c r="J76" s="17"/>
      <c r="K76" s="17"/>
      <c r="L76" s="17"/>
      <c r="M76" s="17"/>
      <c r="N76" s="17"/>
      <c r="O76" s="17"/>
    </row>
    <row r="77" spans="1:15" x14ac:dyDescent="0.25">
      <c r="A77" s="81" t="s">
        <v>87</v>
      </c>
      <c r="B77" s="91">
        <v>1029295</v>
      </c>
      <c r="C77" s="84">
        <v>893193</v>
      </c>
      <c r="D77" s="107">
        <v>900000</v>
      </c>
      <c r="E77" s="17"/>
      <c r="F77" s="17"/>
      <c r="G77" s="17"/>
      <c r="H77" s="17"/>
      <c r="I77" s="17"/>
      <c r="J77" s="17"/>
      <c r="K77" s="17"/>
      <c r="L77" s="17"/>
      <c r="M77" s="17"/>
      <c r="N77" s="17"/>
      <c r="O77" s="17"/>
    </row>
    <row r="78" spans="1:15" x14ac:dyDescent="0.25">
      <c r="A78" s="81" t="s">
        <v>143</v>
      </c>
      <c r="B78" s="17">
        <f>15739102-2501759</f>
        <v>13237343</v>
      </c>
      <c r="C78" s="17">
        <f>16113646-2868961</f>
        <v>13244685</v>
      </c>
      <c r="D78" s="107">
        <f>17948983-1762071</f>
        <v>16186912</v>
      </c>
      <c r="E78" s="17"/>
      <c r="F78" s="17"/>
      <c r="G78" s="17"/>
      <c r="H78" s="17"/>
      <c r="I78" s="17"/>
      <c r="J78" s="17"/>
      <c r="K78" s="17"/>
      <c r="L78" s="17"/>
      <c r="M78" s="17"/>
      <c r="N78" s="17"/>
      <c r="O78" s="17"/>
    </row>
    <row r="79" spans="1:15" x14ac:dyDescent="0.25">
      <c r="A79" s="81" t="s">
        <v>144</v>
      </c>
      <c r="B79" s="100">
        <f>SUM(B74:B78)</f>
        <v>479170607</v>
      </c>
      <c r="C79" s="100">
        <f>SUM(C74:C78)</f>
        <v>505568523</v>
      </c>
      <c r="D79" s="108">
        <f>SUM(D74:D78)</f>
        <v>541735409</v>
      </c>
      <c r="E79" s="17"/>
      <c r="F79" s="17"/>
      <c r="G79" s="17"/>
      <c r="H79" s="17"/>
      <c r="I79" s="17"/>
      <c r="J79" s="17"/>
      <c r="K79" s="17"/>
      <c r="L79" s="17"/>
      <c r="M79" s="17"/>
      <c r="N79" s="17"/>
      <c r="O79" s="17"/>
    </row>
    <row r="80" spans="1:15" x14ac:dyDescent="0.25">
      <c r="B80" s="17"/>
      <c r="C80" s="17"/>
      <c r="D80" s="17"/>
      <c r="E80" s="17"/>
      <c r="F80" s="17"/>
      <c r="G80" s="17"/>
      <c r="H80" s="17"/>
      <c r="I80" s="17"/>
      <c r="J80" s="17"/>
      <c r="K80" s="17"/>
      <c r="L80" s="17"/>
      <c r="M80" s="17"/>
      <c r="N80" s="17"/>
      <c r="O80" s="17"/>
    </row>
    <row r="81" spans="1:16" x14ac:dyDescent="0.25">
      <c r="A81" s="81" t="s">
        <v>146</v>
      </c>
      <c r="B81" s="100">
        <f>45156894+B109-B79</f>
        <v>66526528</v>
      </c>
      <c r="C81" s="100">
        <f>B81+C109-C79</f>
        <v>80658548.340000033</v>
      </c>
      <c r="D81" s="100">
        <f>C81+D109-D79</f>
        <v>91935098.340000033</v>
      </c>
      <c r="E81" s="100">
        <f>D81+E109-E72</f>
        <v>101270100.14188063</v>
      </c>
      <c r="F81" s="100">
        <f t="shared" ref="F81:O81" si="26">E81+F109-F72</f>
        <v>101260367.96966052</v>
      </c>
      <c r="G81" s="100">
        <f t="shared" si="26"/>
        <v>98907852.598205924</v>
      </c>
      <c r="H81" s="100">
        <f t="shared" si="26"/>
        <v>89627294.775743842</v>
      </c>
      <c r="I81" s="100">
        <f t="shared" si="26"/>
        <v>81678562.756751299</v>
      </c>
      <c r="J81" s="100">
        <f t="shared" si="26"/>
        <v>75628179.218588114</v>
      </c>
      <c r="K81" s="100">
        <f t="shared" si="26"/>
        <v>72345993.880226016</v>
      </c>
      <c r="L81" s="100">
        <f t="shared" si="26"/>
        <v>73634282.420529127</v>
      </c>
      <c r="M81" s="100">
        <f t="shared" si="26"/>
        <v>80276070.447048426</v>
      </c>
      <c r="N81" s="100">
        <f t="shared" si="26"/>
        <v>93244179.482892275</v>
      </c>
      <c r="O81" s="100">
        <f t="shared" si="26"/>
        <v>113620525.48718476</v>
      </c>
    </row>
    <row r="82" spans="1:16" x14ac:dyDescent="0.25">
      <c r="B82" s="109">
        <f>B81/B109</f>
        <v>0.13290944973193475</v>
      </c>
      <c r="C82" s="109">
        <f>C81/C109</f>
        <v>0.15520197039169029</v>
      </c>
      <c r="D82" s="109">
        <f>D81/D109</f>
        <v>0.16624432228598521</v>
      </c>
      <c r="E82" s="109">
        <f>E81/E109</f>
        <v>0.17284746664071943</v>
      </c>
      <c r="F82" s="109">
        <f t="shared" ref="F82:O82" si="27">F81/F109</f>
        <v>0.16401604712117093</v>
      </c>
      <c r="G82" s="109">
        <f t="shared" si="27"/>
        <v>0.15213455182147576</v>
      </c>
      <c r="H82" s="109">
        <f t="shared" si="27"/>
        <v>0.13105190678040454</v>
      </c>
      <c r="I82" s="109">
        <f t="shared" si="27"/>
        <v>0.11375026512825009</v>
      </c>
      <c r="J82" s="109">
        <f t="shared" si="27"/>
        <v>0.10039712730433581</v>
      </c>
      <c r="K82" s="109">
        <f t="shared" si="27"/>
        <v>9.1527598780109756E-2</v>
      </c>
      <c r="L82" s="109">
        <f t="shared" si="27"/>
        <v>8.9193068338208795E-2</v>
      </c>
      <c r="M82" s="109">
        <f t="shared" si="27"/>
        <v>9.306052268792471E-2</v>
      </c>
      <c r="N82" s="109">
        <f t="shared" si="27"/>
        <v>0.10336386138637323</v>
      </c>
      <c r="O82" s="109">
        <f t="shared" si="27"/>
        <v>0.12033842220804056</v>
      </c>
    </row>
    <row r="84" spans="1:16" x14ac:dyDescent="0.25">
      <c r="A84" s="20" t="s">
        <v>147</v>
      </c>
      <c r="B84" s="89"/>
      <c r="C84" s="89"/>
    </row>
    <row r="85" spans="1:16" x14ac:dyDescent="0.25">
      <c r="B85" s="89"/>
      <c r="C85" s="89"/>
    </row>
    <row r="86" spans="1:16" x14ac:dyDescent="0.25">
      <c r="A86" s="82" t="s">
        <v>149</v>
      </c>
      <c r="B86" s="83"/>
      <c r="C86" s="83"/>
    </row>
    <row r="87" spans="1:16" x14ac:dyDescent="0.25">
      <c r="B87" s="83"/>
      <c r="C87" s="83"/>
    </row>
    <row r="88" spans="1:16" x14ac:dyDescent="0.25">
      <c r="A88" s="87"/>
      <c r="B88" s="83">
        <f>SUM(B90:B101)</f>
        <v>365462355</v>
      </c>
      <c r="C88" s="83"/>
    </row>
    <row r="89" spans="1:16" x14ac:dyDescent="0.25">
      <c r="A89" s="88" t="s">
        <v>157</v>
      </c>
      <c r="B89" s="83"/>
      <c r="C89" s="83"/>
    </row>
    <row r="90" spans="1:16" x14ac:dyDescent="0.25">
      <c r="A90" s="49" t="s">
        <v>158</v>
      </c>
      <c r="B90" s="83">
        <v>107924266</v>
      </c>
      <c r="C90" s="83">
        <f>107406801-87865</f>
        <v>107318936</v>
      </c>
      <c r="D90" s="83">
        <v>111223970</v>
      </c>
      <c r="E90" s="83">
        <f>D90*(1+E30)*(1+E47)</f>
        <v>114774061.89536755</v>
      </c>
      <c r="F90" s="83">
        <f t="shared" ref="F90:O90" si="28">E90*(1+F30)*(1+F47)</f>
        <v>117368690.27371259</v>
      </c>
      <c r="G90" s="83">
        <f t="shared" si="28"/>
        <v>120532074.69658303</v>
      </c>
      <c r="H90" s="83">
        <f t="shared" si="28"/>
        <v>124101571.24347498</v>
      </c>
      <c r="I90" s="83">
        <f t="shared" si="28"/>
        <v>127965633.46464072</v>
      </c>
      <c r="J90" s="83">
        <f t="shared" si="28"/>
        <v>132516437.14044714</v>
      </c>
      <c r="K90" s="83">
        <f t="shared" si="28"/>
        <v>136986094.6308814</v>
      </c>
      <c r="L90" s="83">
        <f t="shared" si="28"/>
        <v>141172506.04452595</v>
      </c>
      <c r="M90" s="83">
        <f t="shared" si="28"/>
        <v>145407681.22586173</v>
      </c>
      <c r="N90" s="83">
        <f t="shared" si="28"/>
        <v>149769911.66263759</v>
      </c>
      <c r="O90" s="83">
        <f t="shared" si="28"/>
        <v>154263009.01251674</v>
      </c>
      <c r="P90" s="98"/>
    </row>
    <row r="91" spans="1:16" x14ac:dyDescent="0.25">
      <c r="A91" s="49" t="s">
        <v>159</v>
      </c>
      <c r="B91" s="83">
        <v>109135510</v>
      </c>
      <c r="C91" s="83">
        <v>113339309</v>
      </c>
      <c r="D91" s="83">
        <v>118235821</v>
      </c>
      <c r="E91" s="83">
        <f>D91*(1+E31)*(1+E48)</f>
        <v>124991480.46358021</v>
      </c>
      <c r="F91" s="83">
        <f t="shared" ref="F91:O91" si="29">E91*(1+F31)*(1+F48)</f>
        <v>131923206.65134281</v>
      </c>
      <c r="G91" s="83">
        <f t="shared" si="29"/>
        <v>139034761.54163396</v>
      </c>
      <c r="H91" s="83">
        <f t="shared" si="29"/>
        <v>146329980.35713732</v>
      </c>
      <c r="I91" s="83">
        <f t="shared" si="29"/>
        <v>151443819.31749639</v>
      </c>
      <c r="J91" s="83">
        <f t="shared" si="29"/>
        <v>154788908.70647153</v>
      </c>
      <c r="K91" s="83">
        <f t="shared" si="29"/>
        <v>157764462.48548913</v>
      </c>
      <c r="L91" s="83">
        <f t="shared" si="29"/>
        <v>160352104.73965374</v>
      </c>
      <c r="M91" s="83">
        <f t="shared" si="29"/>
        <v>162757386.31074852</v>
      </c>
      <c r="N91" s="83">
        <f t="shared" si="29"/>
        <v>165198747.10540974</v>
      </c>
      <c r="O91" s="83">
        <f t="shared" si="29"/>
        <v>167676728.31199086</v>
      </c>
      <c r="P91" s="98"/>
    </row>
    <row r="92" spans="1:16" x14ac:dyDescent="0.25">
      <c r="A92" s="49" t="s">
        <v>160</v>
      </c>
      <c r="B92" s="83">
        <v>28123663</v>
      </c>
      <c r="C92" s="83">
        <v>28705446</v>
      </c>
      <c r="D92" s="83">
        <v>27351306</v>
      </c>
      <c r="E92" s="83">
        <f>D92*(1+E$32)*(1+E49)</f>
        <v>29333027.795360096</v>
      </c>
      <c r="F92" s="83">
        <f t="shared" ref="F92:O92" si="30">E92*(1+F$32)*(1+F49)</f>
        <v>31409036.723041803</v>
      </c>
      <c r="G92" s="83">
        <f t="shared" si="30"/>
        <v>33583206.461368583</v>
      </c>
      <c r="H92" s="83">
        <f t="shared" si="30"/>
        <v>35859558.250944227</v>
      </c>
      <c r="I92" s="83">
        <f t="shared" si="30"/>
        <v>38242266.262079187</v>
      </c>
      <c r="J92" s="83">
        <f t="shared" si="30"/>
        <v>40735663.151456393</v>
      </c>
      <c r="K92" s="83">
        <f t="shared" si="30"/>
        <v>43344245.814560354</v>
      </c>
      <c r="L92" s="83">
        <f t="shared" si="30"/>
        <v>46072681.340614244</v>
      </c>
      <c r="M92" s="83">
        <f t="shared" si="30"/>
        <v>48925813.176998287</v>
      </c>
      <c r="N92" s="83">
        <f t="shared" si="30"/>
        <v>51955630.221165374</v>
      </c>
      <c r="O92" s="83">
        <f t="shared" si="30"/>
        <v>55173074.015406407</v>
      </c>
      <c r="P92" s="98"/>
    </row>
    <row r="93" spans="1:16" x14ac:dyDescent="0.25">
      <c r="A93" s="49" t="s">
        <v>161</v>
      </c>
      <c r="B93" s="83">
        <f>62042+13888600</f>
        <v>13950642</v>
      </c>
      <c r="C93" s="83">
        <f>11484+13067895</f>
        <v>13079379</v>
      </c>
      <c r="D93" s="83">
        <v>16704543</v>
      </c>
      <c r="E93" s="83">
        <f>D93*(1+E$32)*(1+E50)</f>
        <v>17893906.461599998</v>
      </c>
      <c r="F93" s="83">
        <f t="shared" ref="F93:O93" si="31">E93*(1+F$32)*(1+F50)</f>
        <v>19045806.872537673</v>
      </c>
      <c r="G93" s="83">
        <f t="shared" si="31"/>
        <v>20189045.174177885</v>
      </c>
      <c r="H93" s="83">
        <f t="shared" si="31"/>
        <v>21383736.547731221</v>
      </c>
      <c r="I93" s="83">
        <f t="shared" si="31"/>
        <v>22690823.940755609</v>
      </c>
      <c r="J93" s="83">
        <f t="shared" si="31"/>
        <v>23935788.778376404</v>
      </c>
      <c r="K93" s="83">
        <f t="shared" si="31"/>
        <v>25158676.620212011</v>
      </c>
      <c r="L93" s="83">
        <f t="shared" si="31"/>
        <v>26433395.522657212</v>
      </c>
      <c r="M93" s="83">
        <f t="shared" si="31"/>
        <v>27761954.750290938</v>
      </c>
      <c r="N93" s="83">
        <f t="shared" si="31"/>
        <v>29157288.207509272</v>
      </c>
      <c r="O93" s="83">
        <f t="shared" si="31"/>
        <v>30622752.009450987</v>
      </c>
      <c r="P93" s="98"/>
    </row>
    <row r="94" spans="1:16" x14ac:dyDescent="0.25">
      <c r="A94" s="49" t="s">
        <v>162</v>
      </c>
      <c r="B94" s="83">
        <f>3391213+2861893</f>
        <v>6253106</v>
      </c>
      <c r="C94" s="83">
        <f>3402861+2977485</f>
        <v>6380346</v>
      </c>
      <c r="D94" s="83">
        <v>7026949</v>
      </c>
      <c r="E94" s="83">
        <f>D94*(1+E$32)*(1+E51)</f>
        <v>7718272.4887551861</v>
      </c>
      <c r="F94" s="83">
        <f t="shared" ref="F94:O94" si="32">E94*(1+F$32)*(1+F51)</f>
        <v>8444751.1327356845</v>
      </c>
      <c r="G94" s="83">
        <f t="shared" si="32"/>
        <v>9207872.0501151327</v>
      </c>
      <c r="H94" s="83">
        <f t="shared" si="32"/>
        <v>9484108.2116185874</v>
      </c>
      <c r="I94" s="83">
        <f t="shared" si="32"/>
        <v>9768631.4579671454</v>
      </c>
      <c r="J94" s="83">
        <f t="shared" si="32"/>
        <v>10061690.401706159</v>
      </c>
      <c r="K94" s="83">
        <f t="shared" si="32"/>
        <v>10363541.113757344</v>
      </c>
      <c r="L94" s="83">
        <f t="shared" si="32"/>
        <v>10674447.347170064</v>
      </c>
      <c r="M94" s="83">
        <f t="shared" si="32"/>
        <v>10994680.767585166</v>
      </c>
      <c r="N94" s="83">
        <f t="shared" si="32"/>
        <v>11324521.19061272</v>
      </c>
      <c r="O94" s="83">
        <f t="shared" si="32"/>
        <v>11664256.826331101</v>
      </c>
      <c r="P94" s="98"/>
    </row>
    <row r="95" spans="1:16" x14ac:dyDescent="0.25">
      <c r="A95" s="49" t="s">
        <v>163</v>
      </c>
      <c r="B95" s="83">
        <f>6410178+2630722</f>
        <v>9040900</v>
      </c>
      <c r="C95" s="83">
        <f>6251292+2673006</f>
        <v>8924298</v>
      </c>
      <c r="D95" s="83">
        <v>9711241</v>
      </c>
      <c r="E95" s="83">
        <f>D95*(1+E$32)*(1+E52)</f>
        <v>10002578.23</v>
      </c>
      <c r="F95" s="83">
        <f t="shared" ref="F95:O95" si="33">E95*(1+F$32)*(1+F52)</f>
        <v>10302655.576900002</v>
      </c>
      <c r="G95" s="83">
        <f t="shared" si="33"/>
        <v>10611735.244207002</v>
      </c>
      <c r="H95" s="83">
        <f t="shared" si="33"/>
        <v>10930087.301533213</v>
      </c>
      <c r="I95" s="83">
        <f t="shared" si="33"/>
        <v>11257989.92057921</v>
      </c>
      <c r="J95" s="83">
        <f t="shared" si="33"/>
        <v>11595729.618196586</v>
      </c>
      <c r="K95" s="83">
        <f t="shared" si="33"/>
        <v>11943601.506742485</v>
      </c>
      <c r="L95" s="83">
        <f t="shared" si="33"/>
        <v>12301909.551944761</v>
      </c>
      <c r="M95" s="83">
        <f t="shared" si="33"/>
        <v>12670966.838503104</v>
      </c>
      <c r="N95" s="83">
        <f t="shared" si="33"/>
        <v>13051095.843658198</v>
      </c>
      <c r="O95" s="83">
        <f t="shared" si="33"/>
        <v>13442628.718967944</v>
      </c>
      <c r="P95" s="98"/>
    </row>
    <row r="96" spans="1:16" x14ac:dyDescent="0.25">
      <c r="A96" s="49" t="s">
        <v>164</v>
      </c>
      <c r="B96" s="83">
        <v>913799</v>
      </c>
      <c r="C96" s="83">
        <v>1223321</v>
      </c>
      <c r="D96" s="83">
        <v>1132500</v>
      </c>
      <c r="E96" s="83">
        <f>D96*(1+E30)*(1+E53)</f>
        <v>1189804.5</v>
      </c>
      <c r="F96" s="83">
        <f t="shared" ref="F96:O96" si="34">E96*(1+F30)*(1+F53)</f>
        <v>1250008.6077000001</v>
      </c>
      <c r="G96" s="83">
        <f t="shared" si="34"/>
        <v>1313259.0432496201</v>
      </c>
      <c r="H96" s="83">
        <f t="shared" si="34"/>
        <v>1379709.9508380508</v>
      </c>
      <c r="I96" s="83">
        <f t="shared" si="34"/>
        <v>1449523.2743504562</v>
      </c>
      <c r="J96" s="83">
        <f t="shared" si="34"/>
        <v>1522869.1520325895</v>
      </c>
      <c r="K96" s="83">
        <f t="shared" si="34"/>
        <v>1599926.3311254387</v>
      </c>
      <c r="L96" s="83">
        <f t="shared" si="34"/>
        <v>1680882.6034803858</v>
      </c>
      <c r="M96" s="83">
        <f t="shared" si="34"/>
        <v>1765935.2632164934</v>
      </c>
      <c r="N96" s="83">
        <f t="shared" si="34"/>
        <v>1855291.5875352481</v>
      </c>
      <c r="O96" s="83">
        <f t="shared" si="34"/>
        <v>1949169.3418645319</v>
      </c>
      <c r="P96" s="98"/>
    </row>
    <row r="97" spans="1:16" x14ac:dyDescent="0.25">
      <c r="A97" s="49" t="s">
        <v>165</v>
      </c>
      <c r="B97" s="83">
        <f>0.76*66951412</f>
        <v>50883073.119999997</v>
      </c>
      <c r="C97" s="83">
        <f>0.76*79803812</f>
        <v>60650897.119999997</v>
      </c>
      <c r="D97" s="83">
        <f>0.76*96230763</f>
        <v>73135379.879999995</v>
      </c>
      <c r="E97" s="83">
        <f>D97*(1+E30)*(1+E54)</f>
        <v>84368974.22956799</v>
      </c>
      <c r="F97" s="83">
        <f t="shared" ref="F97:O97" si="35">E97*(1+F30)*(1+F54)</f>
        <v>95590047.802100554</v>
      </c>
      <c r="G97" s="83">
        <f t="shared" si="35"/>
        <v>107072477.63902721</v>
      </c>
      <c r="H97" s="83">
        <f t="shared" si="35"/>
        <v>119107424.12565386</v>
      </c>
      <c r="I97" s="83">
        <f t="shared" si="35"/>
        <v>132495098.59737737</v>
      </c>
      <c r="J97" s="83">
        <f t="shared" si="35"/>
        <v>147387547.67972261</v>
      </c>
      <c r="K97" s="83">
        <f t="shared" si="35"/>
        <v>163953908.03892344</v>
      </c>
      <c r="L97" s="83">
        <f t="shared" si="35"/>
        <v>179004876.79689661</v>
      </c>
      <c r="M97" s="83">
        <f t="shared" si="35"/>
        <v>195437524.48685175</v>
      </c>
      <c r="N97" s="83">
        <f t="shared" si="35"/>
        <v>213378689.23474476</v>
      </c>
      <c r="O97" s="83">
        <f t="shared" si="35"/>
        <v>232966852.90649432</v>
      </c>
      <c r="P97" s="98"/>
    </row>
    <row r="98" spans="1:16" x14ac:dyDescent="0.25">
      <c r="A98" s="49" t="s">
        <v>166</v>
      </c>
      <c r="B98" s="83">
        <f>66951412-B97</f>
        <v>16068338.880000003</v>
      </c>
      <c r="C98" s="83">
        <f>79803812-C97</f>
        <v>19152914.880000003</v>
      </c>
      <c r="D98" s="83">
        <f>96230763-D97</f>
        <v>23095383.120000005</v>
      </c>
      <c r="E98" s="83">
        <f>D98*(1+E30)*(1+E55)</f>
        <v>26642833.967232004</v>
      </c>
      <c r="F98" s="83">
        <f t="shared" ref="F98:O98" si="36">E98*(1+F30)*(1+F55)</f>
        <v>30186330.884873867</v>
      </c>
      <c r="G98" s="83">
        <f t="shared" si="36"/>
        <v>33812361.359692812</v>
      </c>
      <c r="H98" s="83">
        <f t="shared" si="36"/>
        <v>37612870.776522279</v>
      </c>
      <c r="I98" s="83">
        <f t="shared" si="36"/>
        <v>41840557.451803386</v>
      </c>
      <c r="J98" s="83">
        <f t="shared" si="36"/>
        <v>46543436.109386101</v>
      </c>
      <c r="K98" s="83">
        <f t="shared" si="36"/>
        <v>51774918.328081101</v>
      </c>
      <c r="L98" s="83">
        <f t="shared" si="36"/>
        <v>56527855.83059895</v>
      </c>
      <c r="M98" s="83">
        <f t="shared" si="36"/>
        <v>61717112.99584794</v>
      </c>
      <c r="N98" s="83">
        <f t="shared" si="36"/>
        <v>67382743.968866795</v>
      </c>
      <c r="O98" s="83">
        <f t="shared" si="36"/>
        <v>73568479.865208775</v>
      </c>
      <c r="P98" s="98"/>
    </row>
    <row r="99" spans="1:16" x14ac:dyDescent="0.25">
      <c r="A99" s="49" t="s">
        <v>167</v>
      </c>
      <c r="B99" s="83">
        <v>11901679</v>
      </c>
      <c r="C99" s="83">
        <v>10252931</v>
      </c>
      <c r="D99" s="83">
        <v>11377900</v>
      </c>
      <c r="E99" s="83">
        <f>D99*(1+E30)*(1+E56)</f>
        <v>12070814.109999999</v>
      </c>
      <c r="F99" s="83">
        <f t="shared" ref="F99:O99" si="37">E99*(1+F30)*(1+F56)</f>
        <v>12805926.689299</v>
      </c>
      <c r="G99" s="83">
        <f t="shared" si="37"/>
        <v>13585807.62467731</v>
      </c>
      <c r="H99" s="83">
        <f t="shared" si="37"/>
        <v>14413183.309020158</v>
      </c>
      <c r="I99" s="83">
        <f t="shared" si="37"/>
        <v>15290946.172539486</v>
      </c>
      <c r="J99" s="83">
        <f t="shared" si="37"/>
        <v>16222164.794447141</v>
      </c>
      <c r="K99" s="83">
        <f t="shared" si="37"/>
        <v>17210094.630428974</v>
      </c>
      <c r="L99" s="83">
        <f t="shared" si="37"/>
        <v>18258189.393422101</v>
      </c>
      <c r="M99" s="83">
        <f t="shared" si="37"/>
        <v>19370113.127481509</v>
      </c>
      <c r="N99" s="83">
        <f t="shared" si="37"/>
        <v>20549753.016945135</v>
      </c>
      <c r="O99" s="83">
        <f t="shared" si="37"/>
        <v>21801232.975677092</v>
      </c>
      <c r="P99" s="98"/>
    </row>
    <row r="100" spans="1:16" x14ac:dyDescent="0.25">
      <c r="A100" s="82"/>
      <c r="B100" s="83"/>
      <c r="C100" s="83"/>
      <c r="D100" s="83"/>
      <c r="E100" s="83"/>
      <c r="F100" s="83"/>
      <c r="G100" s="83"/>
      <c r="H100" s="83"/>
      <c r="I100" s="83"/>
      <c r="J100" s="83"/>
      <c r="K100" s="83"/>
      <c r="L100" s="83"/>
      <c r="M100" s="83"/>
      <c r="N100" s="83"/>
      <c r="O100" s="83"/>
    </row>
    <row r="101" spans="1:16" x14ac:dyDescent="0.25">
      <c r="A101" s="87" t="s">
        <v>156</v>
      </c>
      <c r="B101" s="83">
        <f>2784380+8482998</f>
        <v>11267378</v>
      </c>
      <c r="C101" s="83">
        <f>7930680+3008881</f>
        <v>10939561</v>
      </c>
      <c r="D101" s="83">
        <v>11436787</v>
      </c>
      <c r="E101" s="83">
        <f>D101*(1+E33)*(1+E53)</f>
        <v>11898833.194800001</v>
      </c>
      <c r="F101" s="83">
        <f t="shared" ref="F101:O101" si="38">E101*(1+F33)*(1+F53)</f>
        <v>12379546.05586992</v>
      </c>
      <c r="G101" s="83">
        <f t="shared" si="38"/>
        <v>12879679.716527065</v>
      </c>
      <c r="H101" s="83">
        <f t="shared" si="38"/>
        <v>13400018.77707476</v>
      </c>
      <c r="I101" s="83">
        <f t="shared" si="38"/>
        <v>13941379.53566858</v>
      </c>
      <c r="J101" s="83">
        <f t="shared" si="38"/>
        <v>14504611.268909592</v>
      </c>
      <c r="K101" s="83">
        <f t="shared" si="38"/>
        <v>15090597.564173542</v>
      </c>
      <c r="L101" s="83">
        <f t="shared" si="38"/>
        <v>15700257.705766154</v>
      </c>
      <c r="M101" s="83">
        <f t="shared" si="38"/>
        <v>16334548.117079107</v>
      </c>
      <c r="N101" s="83">
        <f t="shared" si="38"/>
        <v>16994463.861009102</v>
      </c>
      <c r="O101" s="83">
        <f t="shared" si="38"/>
        <v>17681040.200993869</v>
      </c>
      <c r="P101" s="98"/>
    </row>
    <row r="102" spans="1:16" x14ac:dyDescent="0.25">
      <c r="A102" s="82"/>
      <c r="B102" s="83"/>
      <c r="C102" s="83"/>
      <c r="D102" s="83"/>
      <c r="E102" s="83"/>
      <c r="F102" s="83"/>
      <c r="G102" s="83"/>
      <c r="H102" s="83"/>
      <c r="I102" s="83"/>
      <c r="J102" s="83"/>
      <c r="K102" s="83"/>
      <c r="L102" s="83"/>
      <c r="M102" s="83"/>
      <c r="N102" s="83"/>
      <c r="O102" s="83"/>
    </row>
    <row r="103" spans="1:16" x14ac:dyDescent="0.25">
      <c r="A103" s="81" t="s">
        <v>150</v>
      </c>
      <c r="B103" s="84">
        <v>-35388193</v>
      </c>
      <c r="C103" s="84">
        <v>-37439801</v>
      </c>
      <c r="D103" s="84">
        <v>-38496686</v>
      </c>
      <c r="E103" s="84">
        <f>-0.125*SUM(E90,E91,E96,E97,E99)</f>
        <v>-42174391.899814472</v>
      </c>
      <c r="F103" s="84">
        <f>-0.125*SUM(F90,F91,F96,F97,F99)</f>
        <v>-44867235.003019363</v>
      </c>
      <c r="G103" s="84">
        <f t="shared" ref="G103:O103" si="39">-0.125*SUM(G90,G91,G96,G97,G99)</f>
        <v>-47692297.568146393</v>
      </c>
      <c r="H103" s="84">
        <f t="shared" si="39"/>
        <v>-50666483.623265542</v>
      </c>
      <c r="I103" s="84">
        <f t="shared" si="39"/>
        <v>-53580627.603300549</v>
      </c>
      <c r="J103" s="84">
        <f t="shared" si="39"/>
        <v>-56554740.934140131</v>
      </c>
      <c r="K103" s="84">
        <f t="shared" si="39"/>
        <v>-59689310.764606051</v>
      </c>
      <c r="L103" s="84">
        <f t="shared" si="39"/>
        <v>-62558569.947247356</v>
      </c>
      <c r="M103" s="84">
        <f t="shared" si="39"/>
        <v>-65592330.051770002</v>
      </c>
      <c r="N103" s="84">
        <f t="shared" si="39"/>
        <v>-68844049.075909063</v>
      </c>
      <c r="O103" s="84">
        <f t="shared" si="39"/>
        <v>-72332124.068567947</v>
      </c>
    </row>
    <row r="104" spans="1:16" x14ac:dyDescent="0.25">
      <c r="A104" s="81" t="s">
        <v>151</v>
      </c>
      <c r="B104" s="84">
        <v>107609126</v>
      </c>
      <c r="C104" s="84">
        <v>112828816.34</v>
      </c>
      <c r="D104" s="84">
        <v>118299186</v>
      </c>
      <c r="E104" s="84">
        <f>D104*(1.041)</f>
        <v>123149452.62599999</v>
      </c>
      <c r="F104" s="84">
        <f>E104*(1+F35)</f>
        <v>126228188.94164997</v>
      </c>
      <c r="G104" s="84">
        <f t="shared" ref="G104:O104" si="40">F104*(1+G35)</f>
        <v>129383893.66519122</v>
      </c>
      <c r="H104" s="84">
        <f t="shared" si="40"/>
        <v>132618491.00682099</v>
      </c>
      <c r="I104" s="84">
        <f t="shared" si="40"/>
        <v>135933953.28199151</v>
      </c>
      <c r="J104" s="84">
        <f t="shared" si="40"/>
        <v>139332302.1140413</v>
      </c>
      <c r="K104" s="84">
        <f t="shared" si="40"/>
        <v>142815609.66689232</v>
      </c>
      <c r="L104" s="84">
        <f t="shared" si="40"/>
        <v>146385999.90856463</v>
      </c>
      <c r="M104" s="84">
        <f t="shared" si="40"/>
        <v>150045649.90627873</v>
      </c>
      <c r="N104" s="84">
        <f t="shared" si="40"/>
        <v>153796791.15393567</v>
      </c>
      <c r="O104" s="84">
        <f t="shared" si="40"/>
        <v>157641710.93278405</v>
      </c>
    </row>
    <row r="105" spans="1:16" x14ac:dyDescent="0.25">
      <c r="A105" s="81" t="s">
        <v>152</v>
      </c>
      <c r="B105" s="84">
        <v>39347789</v>
      </c>
      <c r="C105" s="84">
        <v>38943993</v>
      </c>
      <c r="D105" s="84">
        <v>39552000</v>
      </c>
      <c r="E105" s="84">
        <f>D105*(1+E$36)</f>
        <v>40343040</v>
      </c>
      <c r="F105" s="84">
        <f>E105*(1+F$36)</f>
        <v>41149900.799999997</v>
      </c>
      <c r="G105" s="84">
        <f t="shared" ref="G105:O105" si="41">F105*(1+G$36)</f>
        <v>41972898.816</v>
      </c>
      <c r="H105" s="84">
        <f t="shared" si="41"/>
        <v>42812356.792319998</v>
      </c>
      <c r="I105" s="84">
        <f t="shared" si="41"/>
        <v>43668603.928166397</v>
      </c>
      <c r="J105" s="84">
        <f t="shared" si="41"/>
        <v>44541976.006729722</v>
      </c>
      <c r="K105" s="84">
        <f t="shared" si="41"/>
        <v>45432815.52686432</v>
      </c>
      <c r="L105" s="84">
        <f t="shared" si="41"/>
        <v>46341471.837401606</v>
      </c>
      <c r="M105" s="84">
        <f t="shared" si="41"/>
        <v>47268301.274149641</v>
      </c>
      <c r="N105" s="84">
        <f t="shared" si="41"/>
        <v>48213667.299632639</v>
      </c>
      <c r="O105" s="84">
        <f t="shared" si="41"/>
        <v>49177940.645625293</v>
      </c>
    </row>
    <row r="106" spans="1:16" x14ac:dyDescent="0.25">
      <c r="A106" s="81" t="s">
        <v>153</v>
      </c>
      <c r="B106" s="84">
        <v>3519598</v>
      </c>
      <c r="C106" s="84">
        <v>6259323</v>
      </c>
      <c r="D106" s="84">
        <v>4399710</v>
      </c>
      <c r="E106" s="84">
        <f t="shared" ref="E106:F108" si="42">D106*(1+E$36)</f>
        <v>4487704.2</v>
      </c>
      <c r="F106" s="84">
        <f t="shared" si="42"/>
        <v>4577458.284</v>
      </c>
      <c r="G106" s="84">
        <f t="shared" ref="G106:O106" si="43">F106*(1+G$36)</f>
        <v>4669007.4496799996</v>
      </c>
      <c r="H106" s="84">
        <f t="shared" si="43"/>
        <v>4762387.5986735998</v>
      </c>
      <c r="I106" s="84">
        <f t="shared" si="43"/>
        <v>4857635.3506470723</v>
      </c>
      <c r="J106" s="84">
        <f t="shared" si="43"/>
        <v>4954788.0576600134</v>
      </c>
      <c r="K106" s="84">
        <f t="shared" si="43"/>
        <v>5053883.8188132141</v>
      </c>
      <c r="L106" s="84">
        <f t="shared" si="43"/>
        <v>5154961.4951894786</v>
      </c>
      <c r="M106" s="84">
        <f t="shared" si="43"/>
        <v>5258060.7250932679</v>
      </c>
      <c r="N106" s="84">
        <f t="shared" si="43"/>
        <v>5363221.9395951331</v>
      </c>
      <c r="O106" s="84">
        <f t="shared" si="43"/>
        <v>5470486.3783870358</v>
      </c>
    </row>
    <row r="107" spans="1:16" x14ac:dyDescent="0.25">
      <c r="A107" s="81" t="s">
        <v>154</v>
      </c>
      <c r="B107" s="84">
        <v>15654151</v>
      </c>
      <c r="C107" s="84">
        <v>15419887</v>
      </c>
      <c r="D107" s="84">
        <v>14994000</v>
      </c>
      <c r="E107" s="84">
        <f t="shared" si="42"/>
        <v>15293880</v>
      </c>
      <c r="F107" s="84">
        <f t="shared" si="42"/>
        <v>15599757.6</v>
      </c>
      <c r="G107" s="84">
        <f t="shared" ref="G107:O107" si="44">F107*(1+G$36)</f>
        <v>15911752.752</v>
      </c>
      <c r="H107" s="84">
        <f t="shared" si="44"/>
        <v>16229987.80704</v>
      </c>
      <c r="I107" s="84">
        <f t="shared" si="44"/>
        <v>16554587.563180801</v>
      </c>
      <c r="J107" s="84">
        <f t="shared" si="44"/>
        <v>16885679.314444415</v>
      </c>
      <c r="K107" s="84">
        <f t="shared" si="44"/>
        <v>17223392.900733303</v>
      </c>
      <c r="L107" s="84">
        <f t="shared" si="44"/>
        <v>17567860.758747969</v>
      </c>
      <c r="M107" s="84">
        <f t="shared" si="44"/>
        <v>17919217.973922927</v>
      </c>
      <c r="N107" s="84">
        <f t="shared" si="44"/>
        <v>18277602.333401386</v>
      </c>
      <c r="O107" s="84">
        <f t="shared" si="44"/>
        <v>18643154.380069412</v>
      </c>
    </row>
    <row r="108" spans="1:16" x14ac:dyDescent="0.25">
      <c r="A108" s="81" t="s">
        <v>155</v>
      </c>
      <c r="B108" s="85">
        <v>4335415</v>
      </c>
      <c r="C108" s="85">
        <v>3720986</v>
      </c>
      <c r="D108" s="85">
        <f>17741817-D107+1084152</f>
        <v>3831969</v>
      </c>
      <c r="E108" s="84">
        <f t="shared" si="42"/>
        <v>3908608.38</v>
      </c>
      <c r="F108" s="84">
        <f t="shared" si="42"/>
        <v>3986780.5476000002</v>
      </c>
      <c r="G108" s="84">
        <f t="shared" ref="G108:O108" si="45">F108*(1+G$36)</f>
        <v>4066516.1585520003</v>
      </c>
      <c r="H108" s="84">
        <f t="shared" si="45"/>
        <v>4147846.4817230403</v>
      </c>
      <c r="I108" s="84">
        <f t="shared" si="45"/>
        <v>4230803.4113575015</v>
      </c>
      <c r="J108" s="84">
        <f t="shared" si="45"/>
        <v>4315419.479584652</v>
      </c>
      <c r="K108" s="84">
        <f t="shared" si="45"/>
        <v>4401727.8691763449</v>
      </c>
      <c r="L108" s="84">
        <f t="shared" si="45"/>
        <v>4489762.426559872</v>
      </c>
      <c r="M108" s="84">
        <f t="shared" si="45"/>
        <v>4579557.6750910692</v>
      </c>
      <c r="N108" s="84">
        <f t="shared" si="45"/>
        <v>4671148.8285928909</v>
      </c>
      <c r="O108" s="84">
        <f t="shared" si="45"/>
        <v>4764571.8051647488</v>
      </c>
    </row>
    <row r="109" spans="1:16" ht="16.5" thickBot="1" x14ac:dyDescent="0.3">
      <c r="A109" s="81" t="s">
        <v>144</v>
      </c>
      <c r="B109" s="86">
        <f>SUM(B90:B108)</f>
        <v>500540241</v>
      </c>
      <c r="C109" s="86">
        <f>SUM(C90:C108)</f>
        <v>519700543.34000003</v>
      </c>
      <c r="D109" s="86">
        <f>SUM(D90:D108)</f>
        <v>553011959</v>
      </c>
      <c r="E109" s="86">
        <f t="shared" ref="E109:O109" si="46">SUM(E90:E108)</f>
        <v>585892880.64244854</v>
      </c>
      <c r="F109" s="86">
        <f t="shared" si="46"/>
        <v>617380858.44034457</v>
      </c>
      <c r="G109" s="86">
        <f t="shared" si="46"/>
        <v>650134051.82453632</v>
      </c>
      <c r="H109" s="86">
        <f t="shared" si="46"/>
        <v>683906834.91486073</v>
      </c>
      <c r="I109" s="86">
        <f t="shared" si="46"/>
        <v>718051625.32730019</v>
      </c>
      <c r="J109" s="86">
        <f t="shared" si="46"/>
        <v>753290270.83947241</v>
      </c>
      <c r="K109" s="86">
        <f t="shared" si="46"/>
        <v>790428186.08224893</v>
      </c>
      <c r="L109" s="86">
        <f t="shared" si="46"/>
        <v>825560593.35594642</v>
      </c>
      <c r="M109" s="86">
        <f t="shared" si="46"/>
        <v>862622174.56323016</v>
      </c>
      <c r="N109" s="86">
        <f t="shared" si="46"/>
        <v>902096518.37934279</v>
      </c>
      <c r="O109" s="86">
        <f t="shared" si="46"/>
        <v>944174964.25836527</v>
      </c>
    </row>
    <row r="111" spans="1:16" x14ac:dyDescent="0.25">
      <c r="B111">
        <f>B103/SUM(B90,B91,B96,B97,B99)</f>
        <v>-0.12604503440026052</v>
      </c>
      <c r="C111">
        <f t="shared" ref="C111:D111" si="47">C103/SUM(C90,C91,C96,C97,C99)</f>
        <v>-0.12787455164056119</v>
      </c>
      <c r="D111">
        <f t="shared" si="47"/>
        <v>-0.12217075658957642</v>
      </c>
    </row>
    <row r="113" spans="1:15" x14ac:dyDescent="0.25">
      <c r="B113" s="5" t="s">
        <v>56</v>
      </c>
      <c r="C113" s="5" t="s">
        <v>2</v>
      </c>
      <c r="D113" s="4" t="s">
        <v>3</v>
      </c>
      <c r="E113" s="4" t="s">
        <v>4</v>
      </c>
      <c r="F113" s="5" t="s">
        <v>5</v>
      </c>
      <c r="G113" s="5" t="s">
        <v>6</v>
      </c>
      <c r="H113" s="4" t="s">
        <v>7</v>
      </c>
      <c r="I113" s="4" t="s">
        <v>8</v>
      </c>
      <c r="J113" s="5" t="s">
        <v>9</v>
      </c>
      <c r="K113" s="5" t="s">
        <v>10</v>
      </c>
      <c r="L113" s="4" t="s">
        <v>11</v>
      </c>
      <c r="M113" s="4" t="s">
        <v>12</v>
      </c>
      <c r="N113" s="5" t="s">
        <v>33</v>
      </c>
      <c r="O113" s="5" t="s">
        <v>39</v>
      </c>
    </row>
    <row r="114" spans="1:15" x14ac:dyDescent="0.25">
      <c r="A114" t="s">
        <v>189</v>
      </c>
      <c r="B114" s="105">
        <f>B90+B96+0.92*B97+0.92*B98+0.8*B99+0.8*B101+B91</f>
        <v>298104119.63999999</v>
      </c>
      <c r="C114" s="105">
        <f>C90+C96+0.92*C97+0.92*C98+0.8*C99+0.8*C101+C91</f>
        <v>312255066.63999999</v>
      </c>
      <c r="D114" s="105">
        <f>D90+D96+0.92*D97+0.92*D98+0.8*D99+0.8*D101+D91</f>
        <v>337376342.56</v>
      </c>
      <c r="E114" s="105">
        <f t="shared" ref="E114:O114" si="48">E90+E96+0.92*E97+0.92*E98+0.8*E99+0.8*E101+E91</f>
        <v>362261928.24384373</v>
      </c>
      <c r="F114" s="105">
        <f t="shared" si="48"/>
        <v>386404552.12090701</v>
      </c>
      <c r="G114" s="105">
        <f t="shared" si="48"/>
        <v>411666537.03325254</v>
      </c>
      <c r="H114" s="105">
        <f t="shared" si="48"/>
        <v>438244494.53032833</v>
      </c>
      <c r="I114" s="105">
        <f t="shared" si="48"/>
        <v>464633640.18830037</v>
      </c>
      <c r="J114" s="105">
        <f t="shared" si="48"/>
        <v>491826140.93561661</v>
      </c>
      <c r="K114" s="105">
        <f t="shared" si="48"/>
        <v>520661557.46082217</v>
      </c>
      <c r="L114" s="105">
        <f t="shared" si="48"/>
        <v>547062365.08430672</v>
      </c>
      <c r="M114" s="105">
        <f t="shared" si="48"/>
        <v>575076998.2795589</v>
      </c>
      <c r="N114" s="105">
        <f t="shared" si="48"/>
        <v>605159842.40526867</v>
      </c>
      <c r="O114" s="105">
        <f t="shared" si="48"/>
        <v>637487231.35767579</v>
      </c>
    </row>
    <row r="115" spans="1:15" x14ac:dyDescent="0.25">
      <c r="A115" t="s">
        <v>188</v>
      </c>
      <c r="B115" s="105">
        <f>B92+B93+B94+B95+0.08*B97+0.08*B98+0.2*B99+0.2*B101+0.8157*B103+0.1843*B103</f>
        <v>31970042.359999996</v>
      </c>
      <c r="C115" s="105">
        <f>C92+C93+C94+C95+0.08*C97+0.08*C98+0.2*C99+0.2*C101+0.8157*C103+0.1843*C103</f>
        <v>30272471.360000007</v>
      </c>
      <c r="D115" s="105">
        <f>D92+D93+D94+D95+0.08*D97+0.08*D98+0.2*D99+0.2*D101+0.8157*D103+0.1843*D103</f>
        <v>34558751.440000013</v>
      </c>
      <c r="E115" s="105">
        <f t="shared" ref="E115:O115" si="49">E92+E93+E94+E95+0.08*E97+0.08*E98+0.2*E99+0.2*E101+0.8157*E103+0.1843*E103</f>
        <v>36448267.19260481</v>
      </c>
      <c r="F115" s="105">
        <f t="shared" si="49"/>
        <v>39434220.146187529</v>
      </c>
      <c r="G115" s="105">
        <f t="shared" si="49"/>
        <v>42463445.949860707</v>
      </c>
      <c r="H115" s="105">
        <f t="shared" si="49"/>
        <v>45091270.697954789</v>
      </c>
      <c r="I115" s="105">
        <f t="shared" si="49"/>
        <v>48172401.603656694</v>
      </c>
      <c r="J115" s="105">
        <f t="shared" si="49"/>
        <v>51433964.931395456</v>
      </c>
      <c r="K115" s="105">
        <f t="shared" si="49"/>
        <v>54839198.83894702</v>
      </c>
      <c r="L115" s="105">
        <f t="shared" si="49"/>
        <v>58558171.84517625</v>
      </c>
      <c r="M115" s="105">
        <f t="shared" si="49"/>
        <v>62474388.729135573</v>
      </c>
      <c r="N115" s="105">
        <f t="shared" si="49"/>
        <v>66614244.418916248</v>
      </c>
      <c r="O115" s="105">
        <f t="shared" si="49"/>
        <v>70989868.758658931</v>
      </c>
    </row>
    <row r="116" spans="1:15" x14ac:dyDescent="0.25">
      <c r="A116" t="s">
        <v>190</v>
      </c>
      <c r="B116" s="105">
        <f t="shared" ref="B116:D117" si="50">B104</f>
        <v>107609126</v>
      </c>
      <c r="C116" s="105">
        <f t="shared" si="50"/>
        <v>112828816.34</v>
      </c>
      <c r="D116" s="105">
        <f t="shared" si="50"/>
        <v>118299186</v>
      </c>
      <c r="E116" s="105">
        <f t="shared" ref="E116:O116" si="51">E104</f>
        <v>123149452.62599999</v>
      </c>
      <c r="F116" s="105">
        <f t="shared" si="51"/>
        <v>126228188.94164997</v>
      </c>
      <c r="G116" s="105">
        <f t="shared" si="51"/>
        <v>129383893.66519122</v>
      </c>
      <c r="H116" s="105">
        <f t="shared" si="51"/>
        <v>132618491.00682099</v>
      </c>
      <c r="I116" s="105">
        <f t="shared" si="51"/>
        <v>135933953.28199151</v>
      </c>
      <c r="J116" s="105">
        <f t="shared" si="51"/>
        <v>139332302.1140413</v>
      </c>
      <c r="K116" s="105">
        <f t="shared" si="51"/>
        <v>142815609.66689232</v>
      </c>
      <c r="L116" s="105">
        <f t="shared" si="51"/>
        <v>146385999.90856463</v>
      </c>
      <c r="M116" s="105">
        <f t="shared" si="51"/>
        <v>150045649.90627873</v>
      </c>
      <c r="N116" s="105">
        <f t="shared" si="51"/>
        <v>153796791.15393567</v>
      </c>
      <c r="O116" s="105">
        <f t="shared" si="51"/>
        <v>157641710.93278405</v>
      </c>
    </row>
    <row r="117" spans="1:15" x14ac:dyDescent="0.25">
      <c r="A117" t="s">
        <v>191</v>
      </c>
      <c r="B117" s="105">
        <f t="shared" si="50"/>
        <v>39347789</v>
      </c>
      <c r="C117" s="105">
        <f t="shared" si="50"/>
        <v>38943993</v>
      </c>
      <c r="D117" s="105">
        <f t="shared" si="50"/>
        <v>39552000</v>
      </c>
      <c r="E117" s="105">
        <f t="shared" ref="E117:O117" si="52">E105</f>
        <v>40343040</v>
      </c>
      <c r="F117" s="105">
        <f t="shared" si="52"/>
        <v>41149900.799999997</v>
      </c>
      <c r="G117" s="105">
        <f t="shared" si="52"/>
        <v>41972898.816</v>
      </c>
      <c r="H117" s="105">
        <f t="shared" si="52"/>
        <v>42812356.792319998</v>
      </c>
      <c r="I117" s="105">
        <f t="shared" si="52"/>
        <v>43668603.928166397</v>
      </c>
      <c r="J117" s="105">
        <f t="shared" si="52"/>
        <v>44541976.006729722</v>
      </c>
      <c r="K117" s="105">
        <f t="shared" si="52"/>
        <v>45432815.52686432</v>
      </c>
      <c r="L117" s="105">
        <f t="shared" si="52"/>
        <v>46341471.837401606</v>
      </c>
      <c r="M117" s="105">
        <f t="shared" si="52"/>
        <v>47268301.274149641</v>
      </c>
      <c r="N117" s="105">
        <f t="shared" si="52"/>
        <v>48213667.299632639</v>
      </c>
      <c r="O117" s="105">
        <f t="shared" si="52"/>
        <v>49177940.645625293</v>
      </c>
    </row>
    <row r="118" spans="1:15" x14ac:dyDescent="0.25">
      <c r="A118" t="s">
        <v>192</v>
      </c>
      <c r="B118" s="105">
        <f>B107</f>
        <v>15654151</v>
      </c>
      <c r="C118" s="105">
        <f>C107</f>
        <v>15419887</v>
      </c>
      <c r="D118" s="105">
        <f>D107</f>
        <v>14994000</v>
      </c>
      <c r="E118" s="105">
        <f t="shared" ref="E118:O118" si="53">E107</f>
        <v>15293880</v>
      </c>
      <c r="F118" s="105">
        <f t="shared" si="53"/>
        <v>15599757.6</v>
      </c>
      <c r="G118" s="105">
        <f t="shared" si="53"/>
        <v>15911752.752</v>
      </c>
      <c r="H118" s="105">
        <f t="shared" si="53"/>
        <v>16229987.80704</v>
      </c>
      <c r="I118" s="105">
        <f t="shared" si="53"/>
        <v>16554587.563180801</v>
      </c>
      <c r="J118" s="105">
        <f t="shared" si="53"/>
        <v>16885679.314444415</v>
      </c>
      <c r="K118" s="105">
        <f t="shared" si="53"/>
        <v>17223392.900733303</v>
      </c>
      <c r="L118" s="105">
        <f t="shared" si="53"/>
        <v>17567860.758747969</v>
      </c>
      <c r="M118" s="105">
        <f t="shared" si="53"/>
        <v>17919217.973922927</v>
      </c>
      <c r="N118" s="105">
        <f t="shared" si="53"/>
        <v>18277602.333401386</v>
      </c>
      <c r="O118" s="105">
        <f t="shared" si="53"/>
        <v>18643154.380069412</v>
      </c>
    </row>
    <row r="119" spans="1:15" x14ac:dyDescent="0.25">
      <c r="A119" t="s">
        <v>193</v>
      </c>
      <c r="B119" s="105">
        <f>B106+B108</f>
        <v>7855013</v>
      </c>
      <c r="C119" s="105">
        <f>C106+C108</f>
        <v>9980309</v>
      </c>
      <c r="D119" s="105">
        <f>D106+D108</f>
        <v>8231679</v>
      </c>
      <c r="E119" s="105">
        <f t="shared" ref="E119:O119" si="54">E106+E108</f>
        <v>8396312.5800000001</v>
      </c>
      <c r="F119" s="105">
        <f t="shared" si="54"/>
        <v>8564238.8315999992</v>
      </c>
      <c r="G119" s="105">
        <f t="shared" si="54"/>
        <v>8735523.608231999</v>
      </c>
      <c r="H119" s="105">
        <f t="shared" si="54"/>
        <v>8910234.080396641</v>
      </c>
      <c r="I119" s="105">
        <f t="shared" si="54"/>
        <v>9088438.7620045729</v>
      </c>
      <c r="J119" s="105">
        <f t="shared" si="54"/>
        <v>9270207.5372446664</v>
      </c>
      <c r="K119" s="105">
        <f t="shared" si="54"/>
        <v>9455611.687989559</v>
      </c>
      <c r="L119" s="105">
        <f t="shared" si="54"/>
        <v>9644723.9217493497</v>
      </c>
      <c r="M119" s="105">
        <f t="shared" si="54"/>
        <v>9837618.400184337</v>
      </c>
      <c r="N119" s="105">
        <f t="shared" si="54"/>
        <v>10034370.768188024</v>
      </c>
      <c r="O119" s="105">
        <f t="shared" si="54"/>
        <v>10235058.183551785</v>
      </c>
    </row>
    <row r="120" spans="1:15" x14ac:dyDescent="0.25">
      <c r="B120" s="105">
        <f>SUM(B114:B119)</f>
        <v>500540241</v>
      </c>
      <c r="C120" s="105">
        <f>SUM(C114:C119)</f>
        <v>519700543.34000003</v>
      </c>
      <c r="D120" s="105">
        <f>SUM(D114:D119)</f>
        <v>553011959</v>
      </c>
      <c r="E120" s="105">
        <f t="shared" ref="E120:O120" si="55">SUM(E114:E119)</f>
        <v>585892880.64244854</v>
      </c>
      <c r="F120" s="105">
        <f t="shared" si="55"/>
        <v>617380858.44034445</v>
      </c>
      <c r="G120" s="105">
        <f t="shared" si="55"/>
        <v>650134051.82453644</v>
      </c>
      <c r="H120" s="105">
        <f t="shared" si="55"/>
        <v>683906834.91486073</v>
      </c>
      <c r="I120" s="105">
        <f t="shared" si="55"/>
        <v>718051625.32730043</v>
      </c>
      <c r="J120" s="105">
        <f t="shared" si="55"/>
        <v>753290270.83947217</v>
      </c>
      <c r="K120" s="105">
        <f t="shared" si="55"/>
        <v>790428186.08224869</v>
      </c>
      <c r="L120" s="105">
        <f t="shared" si="55"/>
        <v>825560593.35594642</v>
      </c>
      <c r="M120" s="105">
        <f t="shared" si="55"/>
        <v>862622174.56323016</v>
      </c>
      <c r="N120" s="105">
        <f t="shared" si="55"/>
        <v>902096518.37934268</v>
      </c>
      <c r="O120" s="105">
        <f t="shared" si="55"/>
        <v>944174964.25836527</v>
      </c>
    </row>
    <row r="121" spans="1:15" x14ac:dyDescent="0.25">
      <c r="B121" s="5" t="s">
        <v>56</v>
      </c>
      <c r="C121" s="5" t="s">
        <v>2</v>
      </c>
      <c r="D121" s="4" t="s">
        <v>3</v>
      </c>
      <c r="E121" s="4" t="s">
        <v>4</v>
      </c>
      <c r="F121" s="5" t="s">
        <v>5</v>
      </c>
      <c r="G121" s="5" t="s">
        <v>6</v>
      </c>
      <c r="H121" s="4" t="s">
        <v>7</v>
      </c>
      <c r="I121" s="4" t="s">
        <v>8</v>
      </c>
      <c r="J121" s="5" t="s">
        <v>9</v>
      </c>
      <c r="K121" s="5" t="s">
        <v>10</v>
      </c>
      <c r="L121" s="4" t="s">
        <v>11</v>
      </c>
      <c r="M121" s="4" t="s">
        <v>12</v>
      </c>
      <c r="N121" s="5" t="s">
        <v>33</v>
      </c>
      <c r="O121" s="5" t="s">
        <v>39</v>
      </c>
    </row>
    <row r="122" spans="1:15" x14ac:dyDescent="0.25">
      <c r="A122" t="s">
        <v>189</v>
      </c>
      <c r="B122" s="109">
        <f t="shared" ref="B122:D127" si="56">B114/B$120</f>
        <v>0.59556474229611434</v>
      </c>
      <c r="C122" s="109">
        <f t="shared" si="56"/>
        <v>0.60083652141905797</v>
      </c>
      <c r="D122" s="109">
        <f t="shared" si="56"/>
        <v>0.61007060890703091</v>
      </c>
      <c r="E122" s="109">
        <f t="shared" ref="E122:O122" si="57">E114/E$120</f>
        <v>0.61830744187676934</v>
      </c>
      <c r="F122" s="109">
        <f t="shared" si="57"/>
        <v>0.62587711756574338</v>
      </c>
      <c r="G122" s="109">
        <f t="shared" si="57"/>
        <v>0.63320254627172878</v>
      </c>
      <c r="H122" s="109">
        <f t="shared" si="57"/>
        <v>0.64079560571270677</v>
      </c>
      <c r="I122" s="109">
        <f t="shared" si="57"/>
        <v>0.64707553579662502</v>
      </c>
      <c r="J122" s="109">
        <f t="shared" si="57"/>
        <v>0.65290388044906245</v>
      </c>
      <c r="K122" s="109">
        <f t="shared" si="57"/>
        <v>0.65870823767239028</v>
      </c>
      <c r="L122" s="109">
        <f t="shared" si="57"/>
        <v>0.66265561787593319</v>
      </c>
      <c r="M122" s="109">
        <f t="shared" si="57"/>
        <v>0.66666150632023402</v>
      </c>
      <c r="N122" s="109">
        <f t="shared" si="57"/>
        <v>0.67083713336181117</v>
      </c>
      <c r="O122" s="109">
        <f t="shared" si="57"/>
        <v>0.67517913044687861</v>
      </c>
    </row>
    <row r="123" spans="1:15" x14ac:dyDescent="0.25">
      <c r="A123" t="s">
        <v>188</v>
      </c>
      <c r="B123" s="109">
        <f t="shared" si="56"/>
        <v>6.3871073175113605E-2</v>
      </c>
      <c r="C123" s="109">
        <f t="shared" si="56"/>
        <v>5.8249835887115978E-2</v>
      </c>
      <c r="D123" s="109">
        <f t="shared" si="56"/>
        <v>6.2491869981422976E-2</v>
      </c>
      <c r="E123" s="109">
        <f t="shared" ref="E123:O123" si="58">E115/E$120</f>
        <v>6.2209779973155209E-2</v>
      </c>
      <c r="F123" s="109">
        <f t="shared" si="58"/>
        <v>6.3873409107318369E-2</v>
      </c>
      <c r="G123" s="109">
        <f t="shared" si="58"/>
        <v>6.531490825729136E-2</v>
      </c>
      <c r="H123" s="109">
        <f t="shared" si="58"/>
        <v>6.593189071369375E-2</v>
      </c>
      <c r="I123" s="109">
        <f t="shared" si="58"/>
        <v>6.7087657634224945E-2</v>
      </c>
      <c r="J123" s="109">
        <f t="shared" si="58"/>
        <v>6.8279077697468563E-2</v>
      </c>
      <c r="K123" s="109">
        <f t="shared" si="58"/>
        <v>6.937910338288554E-2</v>
      </c>
      <c r="L123" s="109">
        <f t="shared" si="58"/>
        <v>7.0931403844185753E-2</v>
      </c>
      <c r="M123" s="109">
        <f t="shared" si="58"/>
        <v>7.2423814934699668E-2</v>
      </c>
      <c r="N123" s="109">
        <f t="shared" si="58"/>
        <v>7.3843810569839866E-2</v>
      </c>
      <c r="O123" s="109">
        <f t="shared" si="58"/>
        <v>7.5187196701853212E-2</v>
      </c>
    </row>
    <row r="124" spans="1:15" x14ac:dyDescent="0.25">
      <c r="A124" t="s">
        <v>190</v>
      </c>
      <c r="B124" s="109">
        <f t="shared" si="56"/>
        <v>0.21498596353614655</v>
      </c>
      <c r="C124" s="109">
        <f t="shared" si="56"/>
        <v>0.21710351814311035</v>
      </c>
      <c r="D124" s="109">
        <f t="shared" si="56"/>
        <v>0.21391795254105889</v>
      </c>
      <c r="E124" s="109">
        <f t="shared" ref="E124:O124" si="59">E116/E$120</f>
        <v>0.21019107194298561</v>
      </c>
      <c r="F124" s="109">
        <f t="shared" si="59"/>
        <v>0.20445756815417529</v>
      </c>
      <c r="G124" s="109">
        <f t="shared" si="59"/>
        <v>0.19901110132916158</v>
      </c>
      <c r="H124" s="109">
        <f t="shared" si="59"/>
        <v>0.19391309493687195</v>
      </c>
      <c r="I124" s="109">
        <f t="shared" si="59"/>
        <v>0.18930944306411179</v>
      </c>
      <c r="J124" s="109">
        <f t="shared" si="59"/>
        <v>0.18496495641549754</v>
      </c>
      <c r="K124" s="109">
        <f t="shared" si="59"/>
        <v>0.18068132207526252</v>
      </c>
      <c r="L124" s="109">
        <f t="shared" si="59"/>
        <v>0.1773170874272208</v>
      </c>
      <c r="M124" s="109">
        <f t="shared" si="59"/>
        <v>0.17394133182612778</v>
      </c>
      <c r="N124" s="109">
        <f t="shared" si="59"/>
        <v>0.17048817728532928</v>
      </c>
      <c r="O124" s="109">
        <f t="shared" si="59"/>
        <v>0.16696239245933528</v>
      </c>
    </row>
    <row r="125" spans="1:15" x14ac:dyDescent="0.25">
      <c r="A125" t="s">
        <v>191</v>
      </c>
      <c r="B125" s="109">
        <f t="shared" si="56"/>
        <v>7.8610640617803998E-2</v>
      </c>
      <c r="C125" s="109">
        <f t="shared" si="56"/>
        <v>7.4935447921057774E-2</v>
      </c>
      <c r="D125" s="109">
        <f t="shared" si="56"/>
        <v>7.1521057286936543E-2</v>
      </c>
      <c r="E125" s="109">
        <f t="shared" ref="E125:O125" si="60">E117/E$120</f>
        <v>6.8857365113845867E-2</v>
      </c>
      <c r="F125" s="109">
        <f t="shared" si="60"/>
        <v>6.6652375494690178E-2</v>
      </c>
      <c r="G125" s="109">
        <f t="shared" si="60"/>
        <v>6.4560375968936309E-2</v>
      </c>
      <c r="H125" s="109">
        <f t="shared" si="60"/>
        <v>6.2599691371193408E-2</v>
      </c>
      <c r="I125" s="109">
        <f t="shared" si="60"/>
        <v>6.0815409906302333E-2</v>
      </c>
      <c r="J125" s="109">
        <f t="shared" si="60"/>
        <v>5.9129896841879852E-2</v>
      </c>
      <c r="K125" s="109">
        <f t="shared" si="60"/>
        <v>5.7478739152827689E-2</v>
      </c>
      <c r="L125" s="109">
        <f t="shared" si="60"/>
        <v>5.6133338013411145E-2</v>
      </c>
      <c r="M125" s="109">
        <f t="shared" si="60"/>
        <v>5.4796065610164625E-2</v>
      </c>
      <c r="N125" s="109">
        <f t="shared" si="60"/>
        <v>5.3446240305029313E-2</v>
      </c>
      <c r="O125" s="109">
        <f t="shared" si="60"/>
        <v>5.2085622376413891E-2</v>
      </c>
    </row>
    <row r="126" spans="1:15" x14ac:dyDescent="0.25">
      <c r="A126" t="s">
        <v>192</v>
      </c>
      <c r="B126" s="109">
        <f t="shared" si="56"/>
        <v>3.1274510454395214E-2</v>
      </c>
      <c r="C126" s="109">
        <f t="shared" si="56"/>
        <v>2.9670715564197429E-2</v>
      </c>
      <c r="D126" s="109">
        <f t="shared" si="56"/>
        <v>2.7113337706318932E-2</v>
      </c>
      <c r="E126" s="109">
        <f t="shared" ref="E126:O126" si="61">E118/E$120</f>
        <v>2.6103542994463113E-2</v>
      </c>
      <c r="F126" s="109">
        <f t="shared" si="61"/>
        <v>2.5267640528099326E-2</v>
      </c>
      <c r="G126" s="109">
        <f t="shared" si="61"/>
        <v>2.4474572139922914E-2</v>
      </c>
      <c r="H126" s="109">
        <f t="shared" si="61"/>
        <v>2.3731284699122016E-2</v>
      </c>
      <c r="I126" s="109">
        <f t="shared" si="61"/>
        <v>2.3054870958108244E-2</v>
      </c>
      <c r="J126" s="109">
        <f t="shared" si="61"/>
        <v>2.2415899910172597E-2</v>
      </c>
      <c r="K126" s="109">
        <f t="shared" si="61"/>
        <v>2.178995284328222E-2</v>
      </c>
      <c r="L126" s="109">
        <f t="shared" si="61"/>
        <v>2.1279916822741874E-2</v>
      </c>
      <c r="M126" s="109">
        <f t="shared" si="61"/>
        <v>2.0772962372542683E-2</v>
      </c>
      <c r="N126" s="109">
        <f t="shared" si="61"/>
        <v>2.0261249169033407E-2</v>
      </c>
      <c r="O126" s="109">
        <f t="shared" si="61"/>
        <v>1.974544452649549E-2</v>
      </c>
    </row>
    <row r="127" spans="1:15" x14ac:dyDescent="0.25">
      <c r="A127" t="s">
        <v>193</v>
      </c>
      <c r="B127" s="109">
        <f t="shared" si="56"/>
        <v>1.5693069920426239E-2</v>
      </c>
      <c r="C127" s="109">
        <f t="shared" si="56"/>
        <v>1.9203961065460448E-2</v>
      </c>
      <c r="D127" s="109">
        <f t="shared" si="56"/>
        <v>1.4885173577231807E-2</v>
      </c>
      <c r="E127" s="109">
        <f t="shared" ref="E127:O127" si="62">E119/E$120</f>
        <v>1.4330798098780786E-2</v>
      </c>
      <c r="F127" s="109">
        <f t="shared" si="62"/>
        <v>1.3871889149973596E-2</v>
      </c>
      <c r="G127" s="109">
        <f t="shared" si="62"/>
        <v>1.3436496032959083E-2</v>
      </c>
      <c r="H127" s="109">
        <f t="shared" si="62"/>
        <v>1.3028432566412167E-2</v>
      </c>
      <c r="I127" s="109">
        <f t="shared" si="62"/>
        <v>1.2657082640627551E-2</v>
      </c>
      <c r="J127" s="109">
        <f t="shared" si="62"/>
        <v>1.2306288685919015E-2</v>
      </c>
      <c r="K127" s="109">
        <f t="shared" si="62"/>
        <v>1.1962644873351779E-2</v>
      </c>
      <c r="L127" s="109">
        <f t="shared" si="62"/>
        <v>1.168263601650734E-2</v>
      </c>
      <c r="M127" s="109">
        <f t="shared" si="62"/>
        <v>1.1404318936231148E-2</v>
      </c>
      <c r="N127" s="109">
        <f t="shared" si="62"/>
        <v>1.1123389308956903E-2</v>
      </c>
      <c r="O127" s="109">
        <f t="shared" si="62"/>
        <v>1.0840213489023471E-2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heetViews>
  <sheetFormatPr defaultColWidth="11" defaultRowHeight="15.75" x14ac:dyDescent="0.25"/>
  <sheetData>
    <row r="1" spans="1:21" x14ac:dyDescent="0.25">
      <c r="A1" t="s">
        <v>234</v>
      </c>
    </row>
    <row r="4" spans="1:21" x14ac:dyDescent="0.25">
      <c r="E4" t="s">
        <v>63</v>
      </c>
      <c r="F4" t="s">
        <v>64</v>
      </c>
      <c r="H4" t="s">
        <v>65</v>
      </c>
    </row>
    <row r="5" spans="1:21" x14ac:dyDescent="0.25">
      <c r="S5" t="s">
        <v>66</v>
      </c>
      <c r="T5" t="s">
        <v>59</v>
      </c>
      <c r="U5" t="s">
        <v>220</v>
      </c>
    </row>
    <row r="6" spans="1:21" ht="48" thickBot="1" x14ac:dyDescent="0.3">
      <c r="A6" s="24"/>
      <c r="B6" s="25" t="s">
        <v>57</v>
      </c>
      <c r="C6" s="25" t="s">
        <v>58</v>
      </c>
      <c r="D6" s="26"/>
      <c r="E6" s="25" t="s">
        <v>59</v>
      </c>
      <c r="F6" s="25" t="s">
        <v>66</v>
      </c>
      <c r="G6" s="25"/>
      <c r="H6" s="25" t="s">
        <v>60</v>
      </c>
      <c r="I6" s="25" t="s">
        <v>61</v>
      </c>
      <c r="J6" s="25" t="s">
        <v>62</v>
      </c>
      <c r="L6" s="28" t="s">
        <v>70</v>
      </c>
      <c r="M6" s="28" t="s">
        <v>71</v>
      </c>
      <c r="O6" s="28" t="s">
        <v>71</v>
      </c>
      <c r="R6" t="s">
        <v>42</v>
      </c>
      <c r="S6" s="11">
        <v>3.4000000000000002E-2</v>
      </c>
      <c r="T6" s="11">
        <v>4.1000000000000002E-2</v>
      </c>
      <c r="U6" s="131">
        <f t="shared" ref="U6:U22" si="0">0.0106+S6</f>
        <v>4.4600000000000001E-2</v>
      </c>
    </row>
    <row r="7" spans="1:21" x14ac:dyDescent="0.25">
      <c r="A7" t="s">
        <v>42</v>
      </c>
      <c r="B7" s="11">
        <v>2.8833333333333332E-2</v>
      </c>
      <c r="C7" s="11">
        <v>3.4000000000000002E-2</v>
      </c>
      <c r="D7" s="12"/>
      <c r="E7" s="11">
        <v>4.1000000000000002E-2</v>
      </c>
      <c r="F7" s="11">
        <v>2.9000000000000001E-2</v>
      </c>
      <c r="G7" s="12"/>
      <c r="H7" s="12">
        <v>3.3626560726446986E-2</v>
      </c>
      <c r="I7" s="12">
        <v>3.829403814386545E-2</v>
      </c>
      <c r="J7" s="12">
        <v>4.1193642555952037E-2</v>
      </c>
      <c r="L7" s="12">
        <f>I7-H7</f>
        <v>4.6674774174184641E-3</v>
      </c>
      <c r="M7" s="12">
        <f>J7-H7</f>
        <v>7.5670818295050513E-3</v>
      </c>
      <c r="R7" t="s">
        <v>43</v>
      </c>
      <c r="S7" s="11">
        <v>2.8000000000000001E-2</v>
      </c>
      <c r="T7" s="11">
        <v>0.06</v>
      </c>
      <c r="U7" s="131">
        <f t="shared" si="0"/>
        <v>3.8600000000000002E-2</v>
      </c>
    </row>
    <row r="8" spans="1:21" x14ac:dyDescent="0.25">
      <c r="A8" t="s">
        <v>43</v>
      </c>
      <c r="B8" s="11">
        <v>3.4166666666666665E-2</v>
      </c>
      <c r="C8" s="11">
        <v>2.8000000000000001E-2</v>
      </c>
      <c r="D8" s="12"/>
      <c r="E8" s="11">
        <v>0.06</v>
      </c>
      <c r="F8" s="11">
        <v>3.4000000000000002E-2</v>
      </c>
      <c r="G8" s="12"/>
      <c r="H8" s="12">
        <v>2.8414550446122178E-2</v>
      </c>
      <c r="I8" s="12">
        <v>3.9774370841770379E-2</v>
      </c>
      <c r="J8" s="12">
        <v>5.996884735202479E-2</v>
      </c>
      <c r="L8" s="12">
        <f t="shared" ref="L8:L23" si="1">I8-H8</f>
        <v>1.1359820395648201E-2</v>
      </c>
      <c r="M8" s="12">
        <f t="shared" ref="M8:M23" si="2">J8-H8</f>
        <v>3.1554296905902612E-2</v>
      </c>
      <c r="R8" t="s">
        <v>44</v>
      </c>
      <c r="S8" s="11">
        <v>1.6E-2</v>
      </c>
      <c r="T8" s="11">
        <v>1.9E-2</v>
      </c>
      <c r="U8" s="131">
        <f t="shared" si="0"/>
        <v>2.6599999999999999E-2</v>
      </c>
    </row>
    <row r="9" spans="1:21" x14ac:dyDescent="0.25">
      <c r="A9" t="s">
        <v>44</v>
      </c>
      <c r="B9" s="11">
        <v>1.7666666666666667E-2</v>
      </c>
      <c r="C9" s="11">
        <v>1.6E-2</v>
      </c>
      <c r="D9" s="12"/>
      <c r="E9" s="11">
        <v>1.9E-2</v>
      </c>
      <c r="F9" s="11">
        <v>1.7999999999999999E-2</v>
      </c>
      <c r="G9" s="12"/>
      <c r="H9" s="12">
        <v>1.5750133475707306E-2</v>
      </c>
      <c r="I9" s="12">
        <v>3.0185004868549248E-2</v>
      </c>
      <c r="J9" s="12">
        <v>1.9103600293901568E-2</v>
      </c>
      <c r="L9" s="12">
        <f t="shared" si="1"/>
        <v>1.4434871392841941E-2</v>
      </c>
      <c r="M9" s="12">
        <f t="shared" si="2"/>
        <v>3.3534668181942617E-3</v>
      </c>
      <c r="R9" t="s">
        <v>45</v>
      </c>
      <c r="S9" s="11">
        <v>2.3E-2</v>
      </c>
      <c r="T9" s="11">
        <v>5.0999999999999997E-2</v>
      </c>
      <c r="U9" s="131">
        <f t="shared" si="0"/>
        <v>3.3599999999999998E-2</v>
      </c>
    </row>
    <row r="10" spans="1:21" x14ac:dyDescent="0.25">
      <c r="A10" t="s">
        <v>45</v>
      </c>
      <c r="B10" s="11">
        <v>2.2000000000000002E-2</v>
      </c>
      <c r="C10" s="11">
        <v>2.3E-2</v>
      </c>
      <c r="D10" s="12"/>
      <c r="E10" s="11">
        <v>5.0999999999999997E-2</v>
      </c>
      <c r="F10" s="11">
        <v>2.1999999999999999E-2</v>
      </c>
      <c r="G10" s="12"/>
      <c r="H10" s="12">
        <v>2.286465177398167E-2</v>
      </c>
      <c r="I10" s="12">
        <v>3.2541182824736614E-2</v>
      </c>
      <c r="J10" s="12">
        <v>5.0757029560202005E-2</v>
      </c>
      <c r="L10" s="12">
        <f t="shared" si="1"/>
        <v>9.676531050754944E-3</v>
      </c>
      <c r="M10" s="12">
        <f t="shared" si="2"/>
        <v>2.7892377786220335E-2</v>
      </c>
      <c r="R10" t="s">
        <v>46</v>
      </c>
      <c r="S10" s="11">
        <v>2.7E-2</v>
      </c>
      <c r="T10" s="11">
        <v>3.6999999999999998E-2</v>
      </c>
      <c r="U10" s="131">
        <f t="shared" si="0"/>
        <v>3.7600000000000001E-2</v>
      </c>
    </row>
    <row r="11" spans="1:21" x14ac:dyDescent="0.25">
      <c r="A11" t="s">
        <v>46</v>
      </c>
      <c r="B11" s="11">
        <v>2.1916666666666668E-2</v>
      </c>
      <c r="C11" s="11">
        <v>2.7E-2</v>
      </c>
      <c r="D11" s="12"/>
      <c r="E11" s="11">
        <v>3.6999999999999998E-2</v>
      </c>
      <c r="F11" s="11">
        <v>2.1999999999999999E-2</v>
      </c>
      <c r="G11" s="12"/>
      <c r="H11" s="12">
        <v>2.6593011305241498E-2</v>
      </c>
      <c r="I11" s="12">
        <v>3.3738721067085198E-2</v>
      </c>
      <c r="J11" s="12">
        <v>3.6777823521339181E-2</v>
      </c>
      <c r="L11" s="12">
        <f t="shared" si="1"/>
        <v>7.1457097618436993E-3</v>
      </c>
      <c r="M11" s="12">
        <f t="shared" si="2"/>
        <v>1.0184812216097683E-2</v>
      </c>
      <c r="R11" t="s">
        <v>47</v>
      </c>
      <c r="S11" s="11">
        <v>3.4000000000000002E-2</v>
      </c>
      <c r="T11" s="11">
        <v>3.9E-2</v>
      </c>
      <c r="U11" s="131">
        <f t="shared" si="0"/>
        <v>4.4600000000000001E-2</v>
      </c>
    </row>
    <row r="12" spans="1:21" x14ac:dyDescent="0.25">
      <c r="A12" t="s">
        <v>47</v>
      </c>
      <c r="B12" s="11">
        <v>3.0083333333333333E-2</v>
      </c>
      <c r="C12" s="11">
        <v>3.4000000000000002E-2</v>
      </c>
      <c r="D12" s="12"/>
      <c r="E12" s="11">
        <v>3.9E-2</v>
      </c>
      <c r="F12" s="11">
        <v>0.03</v>
      </c>
      <c r="G12" s="12"/>
      <c r="H12" s="12">
        <v>3.3913152296333404E-2</v>
      </c>
      <c r="I12" s="12">
        <v>3.3523086654016598E-2</v>
      </c>
      <c r="J12" s="12">
        <v>3.9179351422898856E-2</v>
      </c>
      <c r="L12" s="12">
        <f t="shared" si="1"/>
        <v>-3.9006564231680585E-4</v>
      </c>
      <c r="M12" s="12">
        <f t="shared" si="2"/>
        <v>5.2661991265654517E-3</v>
      </c>
      <c r="R12" t="s">
        <v>69</v>
      </c>
      <c r="S12" s="11">
        <v>3.2000000000000001E-2</v>
      </c>
      <c r="T12" s="11">
        <v>5.0999999999999997E-2</v>
      </c>
      <c r="U12" s="131">
        <f t="shared" si="0"/>
        <v>4.2599999999999999E-2</v>
      </c>
    </row>
    <row r="13" spans="1:21" x14ac:dyDescent="0.25">
      <c r="A13" t="s">
        <v>69</v>
      </c>
      <c r="B13" s="11">
        <v>3.8083333333333337E-2</v>
      </c>
      <c r="C13" s="11">
        <v>3.2000000000000001E-2</v>
      </c>
      <c r="D13" s="12"/>
      <c r="E13" s="11">
        <v>5.0999999999999997E-2</v>
      </c>
      <c r="F13" s="11">
        <v>3.7999999999999999E-2</v>
      </c>
      <c r="G13" s="12"/>
      <c r="H13" s="12">
        <v>3.2195594287097506E-2</v>
      </c>
      <c r="I13" s="12">
        <v>3.1946144430844647E-2</v>
      </c>
      <c r="J13" s="12">
        <v>5.1076296013246703E-2</v>
      </c>
      <c r="L13" s="12">
        <f t="shared" si="1"/>
        <v>-2.4944985625285909E-4</v>
      </c>
      <c r="M13" s="12">
        <f t="shared" si="2"/>
        <v>1.8880701726149196E-2</v>
      </c>
      <c r="R13" t="s">
        <v>48</v>
      </c>
      <c r="S13" s="11">
        <v>2.8000000000000001E-2</v>
      </c>
      <c r="T13" s="11">
        <v>2.8000000000000001E-2</v>
      </c>
      <c r="U13" s="131">
        <f t="shared" si="0"/>
        <v>3.8600000000000002E-2</v>
      </c>
    </row>
    <row r="14" spans="1:21" x14ac:dyDescent="0.25">
      <c r="A14" t="s">
        <v>48</v>
      </c>
      <c r="B14" s="11">
        <v>2.5916666666666668E-2</v>
      </c>
      <c r="C14" s="11">
        <v>2.8000000000000001E-2</v>
      </c>
      <c r="D14" s="12"/>
      <c r="E14" s="11">
        <v>2.8000000000000001E-2</v>
      </c>
      <c r="F14" s="11">
        <v>2.5999999999999999E-2</v>
      </c>
      <c r="G14" s="12"/>
      <c r="H14" s="12">
        <v>2.8494371482176373E-2</v>
      </c>
      <c r="I14" s="12">
        <v>3.5582967619499417E-2</v>
      </c>
      <c r="J14" s="12">
        <v>2.8477944740669114E-2</v>
      </c>
      <c r="L14" s="12">
        <f t="shared" si="1"/>
        <v>7.0885961373230444E-3</v>
      </c>
      <c r="M14" s="12">
        <f t="shared" si="2"/>
        <v>-1.6426741507258313E-5</v>
      </c>
      <c r="R14" t="s">
        <v>49</v>
      </c>
      <c r="S14" s="11">
        <v>3.7999999999999999E-2</v>
      </c>
      <c r="T14" s="11">
        <v>0.05</v>
      </c>
      <c r="U14" s="131">
        <f t="shared" si="0"/>
        <v>4.8599999999999997E-2</v>
      </c>
    </row>
    <row r="15" spans="1:21" x14ac:dyDescent="0.25">
      <c r="A15" t="s">
        <v>49</v>
      </c>
      <c r="B15" s="11">
        <v>3.7083333333333336E-2</v>
      </c>
      <c r="C15" s="11">
        <v>3.7999999999999999E-2</v>
      </c>
      <c r="D15" s="12"/>
      <c r="E15" s="11">
        <v>0.05</v>
      </c>
      <c r="F15" s="11">
        <v>3.6999999999999998E-2</v>
      </c>
      <c r="G15" s="12"/>
      <c r="H15" s="12">
        <v>3.8422072739710433E-2</v>
      </c>
      <c r="I15" s="12">
        <v>2.9320810903676664E-2</v>
      </c>
      <c r="J15" s="12">
        <v>4.9605278661482233E-2</v>
      </c>
      <c r="L15" s="12">
        <f t="shared" si="1"/>
        <v>-9.1012618360337694E-3</v>
      </c>
      <c r="M15" s="12">
        <f t="shared" si="2"/>
        <v>1.1183205921771799E-2</v>
      </c>
      <c r="R15" t="s">
        <v>50</v>
      </c>
      <c r="S15" s="11">
        <v>-4.0000000000000001E-3</v>
      </c>
      <c r="T15" s="11">
        <v>2.3E-2</v>
      </c>
      <c r="U15" s="131">
        <f t="shared" si="0"/>
        <v>6.6E-3</v>
      </c>
    </row>
    <row r="16" spans="1:21" x14ac:dyDescent="0.25">
      <c r="A16" t="s">
        <v>50</v>
      </c>
      <c r="B16" s="11">
        <v>1.4333333333333339E-2</v>
      </c>
      <c r="C16" s="11">
        <v>-4.0000000000000001E-3</v>
      </c>
      <c r="D16" s="12"/>
      <c r="E16" s="11">
        <v>2.3E-2</v>
      </c>
      <c r="F16" s="11">
        <v>1.4E-2</v>
      </c>
      <c r="G16" s="12"/>
      <c r="H16" s="12">
        <v>-3.5133948177425989E-3</v>
      </c>
      <c r="I16" s="12">
        <v>1.6023144542116396E-2</v>
      </c>
      <c r="J16" s="12">
        <v>2.2339470139200568E-2</v>
      </c>
      <c r="L16" s="12">
        <f t="shared" si="1"/>
        <v>1.9536539359858995E-2</v>
      </c>
      <c r="M16" s="12">
        <f t="shared" si="2"/>
        <v>2.5852864956943167E-2</v>
      </c>
      <c r="R16" t="s">
        <v>51</v>
      </c>
      <c r="S16" s="11">
        <v>1.6E-2</v>
      </c>
      <c r="T16" s="11">
        <v>8.9999999999999993E-3</v>
      </c>
      <c r="U16" s="131">
        <f t="shared" si="0"/>
        <v>2.6599999999999999E-2</v>
      </c>
    </row>
    <row r="17" spans="1:21" x14ac:dyDescent="0.25">
      <c r="A17" t="s">
        <v>51</v>
      </c>
      <c r="B17" s="11">
        <v>9.75E-3</v>
      </c>
      <c r="C17" s="11">
        <v>1.6E-2</v>
      </c>
      <c r="D17" s="12"/>
      <c r="E17" s="11">
        <v>8.9999999999999993E-3</v>
      </c>
      <c r="F17" s="11">
        <v>0.01</v>
      </c>
      <c r="G17" s="12"/>
      <c r="H17" s="12">
        <v>1.6416923754958068E-2</v>
      </c>
      <c r="I17" s="12">
        <v>1.4894316066148328E-2</v>
      </c>
      <c r="J17" s="12">
        <v>8.8942571648182867E-3</v>
      </c>
      <c r="L17" s="12">
        <f t="shared" si="1"/>
        <v>-1.5226076888097406E-3</v>
      </c>
      <c r="M17" s="12">
        <f t="shared" si="2"/>
        <v>-7.5226665901397816E-3</v>
      </c>
      <c r="R17" t="s">
        <v>68</v>
      </c>
      <c r="S17" s="11">
        <v>3.2000000000000001E-2</v>
      </c>
      <c r="T17" s="11">
        <v>2.3E-2</v>
      </c>
      <c r="U17" s="131">
        <f t="shared" si="0"/>
        <v>4.2599999999999999E-2</v>
      </c>
    </row>
    <row r="18" spans="1:21" x14ac:dyDescent="0.25">
      <c r="A18" t="s">
        <v>68</v>
      </c>
      <c r="B18" s="11">
        <v>0.02</v>
      </c>
      <c r="C18" s="11">
        <v>3.2000000000000001E-2</v>
      </c>
      <c r="D18" s="12"/>
      <c r="E18" s="11">
        <v>2.3E-2</v>
      </c>
      <c r="F18" s="11">
        <v>0.02</v>
      </c>
      <c r="G18" s="12"/>
      <c r="H18" s="12">
        <v>3.1544715447154426E-2</v>
      </c>
      <c r="I18" s="12">
        <v>2.1258228121290523E-2</v>
      </c>
      <c r="J18" s="12">
        <v>2.3400087070091447E-2</v>
      </c>
      <c r="L18" s="12">
        <f t="shared" si="1"/>
        <v>-1.0286487325863902E-2</v>
      </c>
      <c r="M18" s="12">
        <f t="shared" si="2"/>
        <v>-8.144628377062979E-3</v>
      </c>
      <c r="R18" t="s">
        <v>52</v>
      </c>
      <c r="S18" s="11">
        <v>2.1000000000000001E-2</v>
      </c>
      <c r="T18" s="11">
        <v>1.7000000000000001E-2</v>
      </c>
      <c r="U18" s="131">
        <f t="shared" si="0"/>
        <v>3.1600000000000003E-2</v>
      </c>
    </row>
    <row r="19" spans="1:21" x14ac:dyDescent="0.25">
      <c r="A19" t="s">
        <v>52</v>
      </c>
      <c r="B19" s="11">
        <v>2.9499999999999998E-2</v>
      </c>
      <c r="C19" s="11">
        <v>2.1000000000000001E-2</v>
      </c>
      <c r="D19" s="12"/>
      <c r="E19" s="11">
        <v>1.7000000000000001E-2</v>
      </c>
      <c r="F19" s="11">
        <v>2.9000000000000001E-2</v>
      </c>
      <c r="G19" s="12"/>
      <c r="H19" s="12">
        <v>2.0701975620008417E-2</v>
      </c>
      <c r="I19" s="12">
        <v>1.8068469991546765E-2</v>
      </c>
      <c r="J19" s="12">
        <v>1.6696798893969911E-2</v>
      </c>
      <c r="L19" s="12">
        <f t="shared" si="1"/>
        <v>-2.633505628461652E-3</v>
      </c>
      <c r="M19" s="12">
        <f t="shared" si="2"/>
        <v>-4.0051767260385063E-3</v>
      </c>
      <c r="R19" t="s">
        <v>53</v>
      </c>
      <c r="S19" s="11">
        <v>1.4999999999999999E-2</v>
      </c>
      <c r="T19" s="11">
        <v>1.6E-2</v>
      </c>
      <c r="U19" s="131">
        <f t="shared" si="0"/>
        <v>2.5599999999999998E-2</v>
      </c>
    </row>
    <row r="20" spans="1:21" x14ac:dyDescent="0.25">
      <c r="A20" t="s">
        <v>53</v>
      </c>
      <c r="B20" s="11">
        <v>1.6833333333333332E-2</v>
      </c>
      <c r="C20" s="11">
        <v>1.4999999999999999E-2</v>
      </c>
      <c r="D20" s="12"/>
      <c r="E20" s="11">
        <v>1.6E-2</v>
      </c>
      <c r="F20" s="11">
        <v>1.7000000000000001E-2</v>
      </c>
      <c r="G20" s="12"/>
      <c r="H20" s="12">
        <v>1.4619582003500442E-2</v>
      </c>
      <c r="I20" s="12">
        <v>1.7747794499221703E-2</v>
      </c>
      <c r="J20" s="12">
        <v>1.5690376569037712E-2</v>
      </c>
      <c r="L20" s="12">
        <f t="shared" si="1"/>
        <v>3.1282124957212609E-3</v>
      </c>
      <c r="M20" s="12">
        <f t="shared" si="2"/>
        <v>1.0707945655372697E-3</v>
      </c>
      <c r="R20" t="s">
        <v>54</v>
      </c>
      <c r="S20" s="11">
        <v>1.6E-2</v>
      </c>
      <c r="T20" s="11">
        <v>0.03</v>
      </c>
      <c r="U20" s="131">
        <f t="shared" si="0"/>
        <v>2.6599999999999999E-2</v>
      </c>
    </row>
    <row r="21" spans="1:21" x14ac:dyDescent="0.25">
      <c r="A21" t="s">
        <v>54</v>
      </c>
      <c r="B21" s="11">
        <v>1.5666666666666666E-2</v>
      </c>
      <c r="C21" s="11">
        <v>1.6E-2</v>
      </c>
      <c r="D21" s="12"/>
      <c r="E21" s="11">
        <v>0.03</v>
      </c>
      <c r="F21" s="11">
        <v>1.6E-2</v>
      </c>
      <c r="G21" s="12"/>
      <c r="H21" s="12">
        <v>1.4713343480466712E-2</v>
      </c>
      <c r="I21" s="12">
        <v>1.9783805833163415E-2</v>
      </c>
      <c r="J21" s="12">
        <v>2.9866117404737436E-2</v>
      </c>
      <c r="L21" s="12">
        <f t="shared" si="1"/>
        <v>5.070462352696703E-3</v>
      </c>
      <c r="M21" s="12">
        <f t="shared" si="2"/>
        <v>1.5152773924270724E-2</v>
      </c>
      <c r="R21" t="s">
        <v>55</v>
      </c>
      <c r="S21" s="11">
        <v>1E-3</v>
      </c>
      <c r="T21" s="11">
        <v>2.1000000000000001E-2</v>
      </c>
      <c r="U21" s="131">
        <f t="shared" si="0"/>
        <v>1.1599999999999999E-2</v>
      </c>
    </row>
    <row r="22" spans="1:21" x14ac:dyDescent="0.25">
      <c r="A22" t="s">
        <v>55</v>
      </c>
      <c r="B22" s="11">
        <v>7.4166666666666678E-3</v>
      </c>
      <c r="C22" s="11">
        <v>1E-3</v>
      </c>
      <c r="D22" s="12"/>
      <c r="E22" s="11">
        <v>2.1000000000000001E-2</v>
      </c>
      <c r="F22" s="11">
        <v>7.0000000000000001E-3</v>
      </c>
      <c r="G22" s="12"/>
      <c r="H22" s="12">
        <f>99.26/99.14-1</f>
        <v>1.2104095218883337E-3</v>
      </c>
      <c r="I22" s="12">
        <v>1.6899999999999998E-2</v>
      </c>
      <c r="J22" s="12">
        <v>2.1499999999999998E-2</v>
      </c>
      <c r="L22" s="12">
        <f t="shared" si="1"/>
        <v>1.5689590478111665E-2</v>
      </c>
      <c r="M22" s="12">
        <f t="shared" si="2"/>
        <v>2.0289590478111665E-2</v>
      </c>
      <c r="R22" t="s">
        <v>56</v>
      </c>
      <c r="S22" s="12">
        <v>1.2999999999999999E-2</v>
      </c>
      <c r="T22" s="12">
        <v>1.7999999999999999E-2</v>
      </c>
      <c r="U22" s="131">
        <f t="shared" si="0"/>
        <v>2.3599999999999999E-2</v>
      </c>
    </row>
    <row r="23" spans="1:21" x14ac:dyDescent="0.25">
      <c r="A23" t="s">
        <v>56</v>
      </c>
      <c r="B23" s="11">
        <v>6.8333333333333345E-3</v>
      </c>
      <c r="C23" s="12">
        <v>1.2999999999999999E-2</v>
      </c>
      <c r="D23" s="12"/>
      <c r="E23" s="12">
        <v>1.7999999999999999E-2</v>
      </c>
      <c r="F23" s="12"/>
      <c r="G23" s="12"/>
      <c r="H23" s="12">
        <v>7.4999999999999997E-3</v>
      </c>
      <c r="I23" s="12">
        <v>1.8100000000000002E-2</v>
      </c>
      <c r="J23" s="12">
        <v>1.8200000000000001E-2</v>
      </c>
      <c r="L23" s="12">
        <f t="shared" si="1"/>
        <v>1.0600000000000002E-2</v>
      </c>
      <c r="M23" s="12">
        <f t="shared" si="2"/>
        <v>1.0700000000000001E-2</v>
      </c>
      <c r="R23" t="s">
        <v>2</v>
      </c>
      <c r="S23" s="12">
        <v>2.2800000000000001E-2</v>
      </c>
      <c r="U23" s="131">
        <f>0.0106+S23</f>
        <v>3.3399999999999999E-2</v>
      </c>
    </row>
    <row r="24" spans="1:21" x14ac:dyDescent="0.25">
      <c r="A24" t="s">
        <v>2</v>
      </c>
      <c r="B24" s="11">
        <v>1.8749999999999999E-2</v>
      </c>
      <c r="C24" s="12">
        <v>2.2800000000000001E-2</v>
      </c>
      <c r="D24" s="12"/>
      <c r="E24" s="12"/>
      <c r="F24" s="12"/>
      <c r="G24" s="12"/>
      <c r="H24" s="12"/>
      <c r="I24" s="12"/>
      <c r="J24" s="12"/>
      <c r="R24" t="s">
        <v>3</v>
      </c>
      <c r="S24" s="130">
        <v>0.02</v>
      </c>
      <c r="U24" s="12">
        <v>3.6299999999999999E-2</v>
      </c>
    </row>
    <row r="25" spans="1:21" x14ac:dyDescent="0.25">
      <c r="B25" s="11"/>
      <c r="C25" s="12"/>
      <c r="D25" s="12"/>
      <c r="E25" s="12"/>
      <c r="F25" s="12"/>
      <c r="G25" s="12"/>
      <c r="H25" s="12"/>
      <c r="I25" s="12"/>
      <c r="J25" s="12"/>
    </row>
    <row r="26" spans="1:21" x14ac:dyDescent="0.25">
      <c r="A26" t="s">
        <v>72</v>
      </c>
      <c r="B26" s="11">
        <f>AVERAGE(B7:B24)</f>
        <v>2.1935185185185186E-2</v>
      </c>
      <c r="C26" s="11">
        <f>AVERAGE(C7:C24)</f>
        <v>2.1822222222222229E-2</v>
      </c>
      <c r="D26" s="12"/>
      <c r="E26" s="11">
        <f>AVERAGE(E7:E24)</f>
        <v>3.1352941176470597E-2</v>
      </c>
      <c r="F26" s="11">
        <f>AVERAGE(F7:F24)</f>
        <v>2.3062500000000007E-2</v>
      </c>
      <c r="G26" s="12"/>
      <c r="H26" s="11">
        <f>AVERAGE(H7:H24)</f>
        <v>2.1380450208414774E-2</v>
      </c>
      <c r="I26" s="11">
        <f>AVERAGE(I7:I24)</f>
        <v>2.633424037691361E-2</v>
      </c>
      <c r="J26" s="11">
        <f>AVERAGE(J7:J24)</f>
        <v>3.1336877727268932E-2</v>
      </c>
      <c r="L26" s="11">
        <f>AVERAGE(L7:L24)</f>
        <v>4.9537901684988343E-3</v>
      </c>
      <c r="M26" s="11">
        <f>AVERAGE(M7:M24)</f>
        <v>9.9564275188541579E-3</v>
      </c>
    </row>
    <row r="27" spans="1:21" x14ac:dyDescent="0.25">
      <c r="A27" t="s">
        <v>73</v>
      </c>
      <c r="B27" s="11">
        <f>MEDIAN(B7:B24)</f>
        <v>2.0958333333333336E-2</v>
      </c>
      <c r="C27" s="11">
        <f>MEDIAN(C7:C24)</f>
        <v>2.29E-2</v>
      </c>
      <c r="D27" s="12"/>
      <c r="E27" s="11">
        <f>MEDIAN(E7:E24)</f>
        <v>2.8000000000000001E-2</v>
      </c>
      <c r="F27" s="11">
        <f>MEDIAN(F7:F24)</f>
        <v>2.1999999999999999E-2</v>
      </c>
      <c r="G27" s="12"/>
      <c r="H27" s="11">
        <f>MEDIAN(H7:H24)</f>
        <v>2.286465177398167E-2</v>
      </c>
      <c r="I27" s="11">
        <f>MEDIAN(I7:I24)</f>
        <v>2.9320810903676664E-2</v>
      </c>
      <c r="J27" s="11">
        <f>MEDIAN(J7:J24)</f>
        <v>2.8477944740669114E-2</v>
      </c>
      <c r="L27" s="11">
        <f>MEDIAN(L7:L24)</f>
        <v>5.070462352696703E-3</v>
      </c>
      <c r="M27" s="11">
        <f>MEDIAN(M7:M24)</f>
        <v>1.0184812216097683E-2</v>
      </c>
    </row>
    <row r="28" spans="1:21" x14ac:dyDescent="0.25">
      <c r="B28" s="11"/>
      <c r="C28" s="12"/>
      <c r="D28" s="12"/>
      <c r="E28" s="12"/>
      <c r="F28" s="12"/>
      <c r="G28" s="12"/>
      <c r="H28" s="12"/>
      <c r="I28" s="12"/>
      <c r="J28" s="12"/>
    </row>
    <row r="29" spans="1:21" x14ac:dyDescent="0.25">
      <c r="B29" s="11"/>
      <c r="C29" s="12"/>
      <c r="D29" s="12"/>
      <c r="E29" s="12"/>
      <c r="F29" s="12"/>
      <c r="G29" s="12"/>
      <c r="H29" s="12"/>
      <c r="I29" s="12"/>
      <c r="J29" s="12"/>
    </row>
    <row r="30" spans="1:21" x14ac:dyDescent="0.25">
      <c r="A30" t="s">
        <v>3</v>
      </c>
      <c r="B30" s="12">
        <v>2.5000000000000001E-2</v>
      </c>
      <c r="O30" s="12">
        <v>4.2051066467645892E-2</v>
      </c>
    </row>
    <row r="31" spans="1:21" x14ac:dyDescent="0.25">
      <c r="A31" t="s">
        <v>4</v>
      </c>
      <c r="B31" s="12">
        <v>2.5000000000000001E-2</v>
      </c>
      <c r="O31" s="12">
        <v>3.0554020611963884E-2</v>
      </c>
    </row>
    <row r="32" spans="1:21" x14ac:dyDescent="0.25">
      <c r="A32" t="s">
        <v>67</v>
      </c>
      <c r="B32" s="12">
        <v>2.5000000000000001E-2</v>
      </c>
    </row>
    <row r="33" spans="1:2" x14ac:dyDescent="0.25">
      <c r="A33" t="s">
        <v>6</v>
      </c>
      <c r="B33" s="12">
        <v>2.5000000000000001E-2</v>
      </c>
    </row>
    <row r="34" spans="1:2" x14ac:dyDescent="0.25">
      <c r="A34" t="s">
        <v>7</v>
      </c>
      <c r="B34" s="12">
        <v>2.5000000000000001E-2</v>
      </c>
    </row>
    <row r="35" spans="1:2" x14ac:dyDescent="0.25">
      <c r="A35" t="s">
        <v>8</v>
      </c>
      <c r="B35" s="12">
        <v>2.5000000000000001E-2</v>
      </c>
    </row>
    <row r="36" spans="1:2" x14ac:dyDescent="0.25">
      <c r="A36" t="s">
        <v>9</v>
      </c>
      <c r="B36" s="12">
        <v>2.5000000000000001E-2</v>
      </c>
    </row>
    <row r="37" spans="1:2" x14ac:dyDescent="0.25">
      <c r="A37" t="s">
        <v>10</v>
      </c>
      <c r="B37" s="12">
        <v>2.5000000000000001E-2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election activeCell="F1" sqref="F1"/>
    </sheetView>
  </sheetViews>
  <sheetFormatPr defaultColWidth="11" defaultRowHeight="15.75" x14ac:dyDescent="0.25"/>
  <cols>
    <col min="1" max="1" width="25.375" customWidth="1"/>
    <col min="2" max="2" width="14.625" customWidth="1"/>
    <col min="3" max="3" width="11.5" customWidth="1"/>
    <col min="4" max="4" width="11" customWidth="1"/>
    <col min="9" max="10" width="12.375" customWidth="1"/>
  </cols>
  <sheetData>
    <row r="1" spans="1:10" x14ac:dyDescent="0.25">
      <c r="A1" t="s">
        <v>129</v>
      </c>
      <c r="F1" t="s">
        <v>236</v>
      </c>
    </row>
    <row r="2" spans="1:10" x14ac:dyDescent="0.25">
      <c r="A2" t="s">
        <v>130</v>
      </c>
    </row>
    <row r="4" spans="1:10" ht="30.75" thickBot="1" x14ac:dyDescent="0.3">
      <c r="D4" s="30" t="s">
        <v>76</v>
      </c>
      <c r="E4" s="30" t="s">
        <v>76</v>
      </c>
    </row>
    <row r="5" spans="1:10" ht="48" thickBot="1" x14ac:dyDescent="0.3">
      <c r="A5" s="29" t="s">
        <v>74</v>
      </c>
      <c r="B5" s="30" t="s">
        <v>75</v>
      </c>
      <c r="C5" s="72" t="s">
        <v>94</v>
      </c>
      <c r="D5" s="25" t="s">
        <v>127</v>
      </c>
      <c r="E5" s="25" t="s">
        <v>128</v>
      </c>
      <c r="F5" s="25" t="s">
        <v>134</v>
      </c>
      <c r="G5" s="27" t="s">
        <v>131</v>
      </c>
      <c r="I5" s="30" t="s">
        <v>132</v>
      </c>
      <c r="J5" s="30" t="s">
        <v>133</v>
      </c>
    </row>
    <row r="6" spans="1:10" x14ac:dyDescent="0.25">
      <c r="A6" s="31" t="s">
        <v>77</v>
      </c>
      <c r="B6" s="32">
        <v>188566595.31999999</v>
      </c>
      <c r="C6" s="23" t="s">
        <v>24</v>
      </c>
      <c r="D6" s="73">
        <v>0.03</v>
      </c>
      <c r="E6" s="73">
        <v>0.03</v>
      </c>
      <c r="F6" s="11">
        <f>((1+D6)*(1+E6))^0.5-1</f>
        <v>3.0000000000000027E-2</v>
      </c>
      <c r="I6" s="32">
        <f>B6*(1+D6)</f>
        <v>194223593.1796</v>
      </c>
      <c r="J6" s="32">
        <f>I6*(1+E6)</f>
        <v>200050300.97498801</v>
      </c>
    </row>
    <row r="7" spans="1:10" x14ac:dyDescent="0.25">
      <c r="A7" s="31" t="s">
        <v>78</v>
      </c>
      <c r="B7" s="32">
        <v>89522224</v>
      </c>
      <c r="C7" s="23" t="s">
        <v>123</v>
      </c>
      <c r="D7" s="73">
        <v>9.6299999999999997E-2</v>
      </c>
      <c r="E7" s="73">
        <v>4.0300000000000002E-2</v>
      </c>
      <c r="F7" s="11">
        <f t="shared" ref="F7:F17" si="0">((1+D7)*(1+E7))^0.5-1</f>
        <v>6.7932998834664859E-2</v>
      </c>
      <c r="I7" s="32">
        <f t="shared" ref="I7:I17" si="1">B7*(1+D7)</f>
        <v>98143214.171200007</v>
      </c>
      <c r="J7" s="32">
        <f t="shared" ref="J7:J17" si="2">I7*(1+E7)</f>
        <v>102098385.70229937</v>
      </c>
    </row>
    <row r="8" spans="1:10" x14ac:dyDescent="0.25">
      <c r="A8" s="31" t="s">
        <v>79</v>
      </c>
      <c r="B8" s="32">
        <v>36772791.159999996</v>
      </c>
      <c r="C8" s="23" t="s">
        <v>124</v>
      </c>
      <c r="D8" s="73">
        <v>0.04</v>
      </c>
      <c r="E8" s="73">
        <v>0.04</v>
      </c>
      <c r="F8" s="11">
        <f t="shared" si="0"/>
        <v>4.0000000000000036E-2</v>
      </c>
      <c r="I8" s="32">
        <f t="shared" si="1"/>
        <v>38243702.806400001</v>
      </c>
      <c r="J8" s="32">
        <f t="shared" si="2"/>
        <v>39773450.918655999</v>
      </c>
    </row>
    <row r="9" spans="1:10" x14ac:dyDescent="0.25">
      <c r="A9" s="31" t="s">
        <v>80</v>
      </c>
      <c r="B9" s="32">
        <v>23212112</v>
      </c>
      <c r="C9" s="23" t="s">
        <v>123</v>
      </c>
      <c r="D9" s="73">
        <v>8.1799999999999998E-2</v>
      </c>
      <c r="E9" s="73">
        <v>4.2200000000000001E-2</v>
      </c>
      <c r="F9" s="11">
        <f t="shared" si="0"/>
        <v>6.1815407686288903E-2</v>
      </c>
      <c r="I9" s="32">
        <f t="shared" si="1"/>
        <v>25110862.761600003</v>
      </c>
      <c r="J9" s="32">
        <f t="shared" si="2"/>
        <v>26170541.170139521</v>
      </c>
    </row>
    <row r="10" spans="1:10" x14ac:dyDescent="0.25">
      <c r="A10" s="31" t="s">
        <v>81</v>
      </c>
      <c r="B10" s="33">
        <v>29049294</v>
      </c>
      <c r="C10" s="23" t="s">
        <v>124</v>
      </c>
      <c r="D10" s="73">
        <v>0.02</v>
      </c>
      <c r="E10" s="73">
        <v>0.02</v>
      </c>
      <c r="F10" s="11">
        <f t="shared" si="0"/>
        <v>2.0000000000000018E-2</v>
      </c>
      <c r="I10" s="33">
        <f t="shared" si="1"/>
        <v>29630279.879999999</v>
      </c>
      <c r="J10" s="33">
        <f t="shared" si="2"/>
        <v>30222885.477600001</v>
      </c>
    </row>
    <row r="11" spans="1:10" x14ac:dyDescent="0.25">
      <c r="A11" s="31" t="s">
        <v>82</v>
      </c>
      <c r="B11" s="33">
        <v>17387977</v>
      </c>
      <c r="C11" s="23" t="s">
        <v>125</v>
      </c>
      <c r="D11" s="73">
        <v>1.4999999999999999E-2</v>
      </c>
      <c r="E11" s="73">
        <v>1.4999999999999999E-2</v>
      </c>
      <c r="F11" s="11">
        <f t="shared" si="0"/>
        <v>1.4999999999999902E-2</v>
      </c>
      <c r="I11" s="33">
        <f t="shared" si="1"/>
        <v>17648796.654999997</v>
      </c>
      <c r="J11" s="33">
        <f t="shared" si="2"/>
        <v>17913528.604824997</v>
      </c>
    </row>
    <row r="12" spans="1:10" x14ac:dyDescent="0.25">
      <c r="A12" s="31" t="s">
        <v>83</v>
      </c>
      <c r="B12" s="33">
        <v>4580705.29</v>
      </c>
      <c r="C12" s="23" t="s">
        <v>123</v>
      </c>
      <c r="D12" s="73">
        <v>2.5000000000000001E-2</v>
      </c>
      <c r="E12" s="73">
        <v>2.5000000000000001E-2</v>
      </c>
      <c r="F12" s="11">
        <f t="shared" si="0"/>
        <v>2.4999999999999911E-2</v>
      </c>
      <c r="I12" s="33">
        <f t="shared" si="1"/>
        <v>4695222.9222499998</v>
      </c>
      <c r="J12" s="33">
        <f t="shared" si="2"/>
        <v>4812603.4953062497</v>
      </c>
    </row>
    <row r="13" spans="1:10" ht="17.25" x14ac:dyDescent="0.25">
      <c r="A13" s="31" t="s">
        <v>84</v>
      </c>
      <c r="B13" s="33">
        <v>1678229.8</v>
      </c>
      <c r="C13" s="23" t="s">
        <v>24</v>
      </c>
      <c r="D13" s="73">
        <v>0.03</v>
      </c>
      <c r="E13" s="73">
        <v>0.03</v>
      </c>
      <c r="F13" s="11">
        <f t="shared" si="0"/>
        <v>3.0000000000000027E-2</v>
      </c>
      <c r="I13" s="33">
        <f t="shared" si="1"/>
        <v>1728576.6940000001</v>
      </c>
      <c r="J13" s="33">
        <f t="shared" si="2"/>
        <v>1780433.9948200001</v>
      </c>
    </row>
    <row r="14" spans="1:10" x14ac:dyDescent="0.25">
      <c r="A14" s="31" t="s">
        <v>85</v>
      </c>
      <c r="B14" s="34">
        <v>122066865.58799998</v>
      </c>
      <c r="C14" s="23" t="s">
        <v>66</v>
      </c>
      <c r="D14" s="73">
        <v>2.1000000000000001E-2</v>
      </c>
      <c r="E14" s="73">
        <v>2.1000000000000001E-2</v>
      </c>
      <c r="F14" s="11">
        <f t="shared" si="0"/>
        <v>2.0999999999999908E-2</v>
      </c>
      <c r="I14" s="34">
        <f t="shared" si="1"/>
        <v>124630269.76534797</v>
      </c>
      <c r="J14" s="34">
        <f t="shared" si="2"/>
        <v>127247505.43042026</v>
      </c>
    </row>
    <row r="15" spans="1:10" x14ac:dyDescent="0.25">
      <c r="A15" s="31" t="s">
        <v>86</v>
      </c>
      <c r="B15" s="34">
        <v>5098752</v>
      </c>
      <c r="C15" s="23" t="s">
        <v>66</v>
      </c>
      <c r="D15" s="73">
        <v>2.1000000000000001E-2</v>
      </c>
      <c r="E15" s="73">
        <v>2.1000000000000001E-2</v>
      </c>
      <c r="F15" s="11">
        <f t="shared" si="0"/>
        <v>2.0999999999999908E-2</v>
      </c>
      <c r="I15" s="34">
        <f t="shared" si="1"/>
        <v>5205825.7919999994</v>
      </c>
      <c r="J15" s="34">
        <f t="shared" si="2"/>
        <v>5315148.1336319987</v>
      </c>
    </row>
    <row r="16" spans="1:10" x14ac:dyDescent="0.25">
      <c r="A16" s="31" t="s">
        <v>87</v>
      </c>
      <c r="B16" s="34">
        <v>1055023.8500000001</v>
      </c>
      <c r="C16" s="23" t="s">
        <v>125</v>
      </c>
      <c r="D16" s="73">
        <v>0.03</v>
      </c>
      <c r="E16" s="73">
        <v>0.03</v>
      </c>
      <c r="F16" s="11">
        <f t="shared" si="0"/>
        <v>3.0000000000000027E-2</v>
      </c>
      <c r="I16" s="34">
        <f t="shared" si="1"/>
        <v>1086674.5655</v>
      </c>
      <c r="J16" s="34">
        <f t="shared" si="2"/>
        <v>1119274.802465</v>
      </c>
    </row>
    <row r="17" spans="1:10" x14ac:dyDescent="0.25">
      <c r="A17" s="35" t="s">
        <v>88</v>
      </c>
      <c r="B17" s="34">
        <v>-24100000</v>
      </c>
      <c r="C17" s="23" t="s">
        <v>135</v>
      </c>
      <c r="D17" s="74">
        <v>1.0500000000000001E-2</v>
      </c>
      <c r="E17" s="74">
        <v>1.0500000000000001E-2</v>
      </c>
      <c r="F17" s="11">
        <f t="shared" si="0"/>
        <v>1.0499999999999954E-2</v>
      </c>
      <c r="I17" s="34">
        <f t="shared" si="1"/>
        <v>-24353050</v>
      </c>
      <c r="J17" s="34">
        <f t="shared" si="2"/>
        <v>-24608757.024999999</v>
      </c>
    </row>
    <row r="18" spans="1:10" x14ac:dyDescent="0.25">
      <c r="A18" s="35"/>
      <c r="B18" s="36"/>
      <c r="C18" s="23"/>
      <c r="D18" s="75"/>
      <c r="E18" s="75"/>
      <c r="I18" s="36"/>
      <c r="J18" s="36"/>
    </row>
    <row r="19" spans="1:10" x14ac:dyDescent="0.25">
      <c r="A19" s="35" t="s">
        <v>89</v>
      </c>
      <c r="B19" s="37">
        <f>SUM(B6:B17)</f>
        <v>494890570.00800008</v>
      </c>
      <c r="C19" s="23"/>
      <c r="D19" s="75"/>
      <c r="E19" s="75"/>
      <c r="I19" s="37">
        <f t="shared" ref="I19:J19" si="3">SUM(I6:I17)</f>
        <v>515993969.19289804</v>
      </c>
      <c r="J19" s="37">
        <f t="shared" si="3"/>
        <v>531895301.68015134</v>
      </c>
    </row>
    <row r="20" spans="1:10" x14ac:dyDescent="0.25">
      <c r="A20" s="35"/>
      <c r="B20" s="38"/>
      <c r="C20" s="23"/>
      <c r="D20" s="75"/>
      <c r="E20" s="75"/>
      <c r="I20" s="38"/>
      <c r="J20" s="38"/>
    </row>
    <row r="21" spans="1:10" x14ac:dyDescent="0.25">
      <c r="A21" s="35" t="s">
        <v>90</v>
      </c>
      <c r="B21" s="36"/>
      <c r="C21" s="23"/>
      <c r="D21" s="75"/>
      <c r="E21" s="75"/>
      <c r="I21" s="36"/>
      <c r="J21" s="36"/>
    </row>
    <row r="22" spans="1:10" x14ac:dyDescent="0.25">
      <c r="A22" s="35" t="s">
        <v>91</v>
      </c>
      <c r="B22" s="36"/>
      <c r="C22" s="23"/>
      <c r="D22" s="75"/>
      <c r="E22" s="75"/>
      <c r="I22" s="36"/>
      <c r="J22" s="36"/>
    </row>
    <row r="23" spans="1:10" x14ac:dyDescent="0.25">
      <c r="A23" s="31" t="s">
        <v>92</v>
      </c>
      <c r="B23" s="33">
        <v>13905373</v>
      </c>
      <c r="C23" s="23" t="s">
        <v>126</v>
      </c>
      <c r="D23" s="76">
        <v>2.1000000000000001E-2</v>
      </c>
      <c r="E23" s="76">
        <v>2.1000000000000001E-2</v>
      </c>
      <c r="F23" s="11">
        <f>((1+D23)*(1+E23))^0.5-1</f>
        <v>2.0999999999999908E-2</v>
      </c>
      <c r="I23" s="33">
        <f>B23*(1+D23)</f>
        <v>14197385.832999999</v>
      </c>
      <c r="J23" s="33">
        <f>I23*(1+E23)</f>
        <v>14495530.935492998</v>
      </c>
    </row>
    <row r="24" spans="1:10" x14ac:dyDescent="0.25">
      <c r="A24" s="31"/>
      <c r="B24" s="40"/>
      <c r="C24" s="23"/>
      <c r="D24" s="77"/>
      <c r="E24" s="77"/>
      <c r="I24" s="40"/>
      <c r="J24" s="40"/>
    </row>
    <row r="25" spans="1:10" ht="16.5" thickBot="1" x14ac:dyDescent="0.3">
      <c r="A25" s="42" t="s">
        <v>93</v>
      </c>
      <c r="B25" s="43">
        <f>B19+B23</f>
        <v>508795943.00800008</v>
      </c>
      <c r="C25" s="78"/>
      <c r="D25" s="79">
        <f>I25/B25-1</f>
        <v>4.2051066467645892E-2</v>
      </c>
      <c r="E25" s="79">
        <f>J25/I25-1</f>
        <v>3.0554020611963884E-2</v>
      </c>
      <c r="F25" s="80">
        <f t="shared" ref="F25" si="4">((1+D25)*(1+E25))^0.5-1</f>
        <v>3.6286599465233493E-2</v>
      </c>
      <c r="I25" s="43">
        <f t="shared" ref="I25:J25" si="5">I19+I23</f>
        <v>530191355.02589804</v>
      </c>
      <c r="J25" s="43">
        <f t="shared" si="5"/>
        <v>546390832.61564434</v>
      </c>
    </row>
    <row r="26" spans="1:10" ht="17.25" thickTop="1" thickBot="1" x14ac:dyDescent="0.3">
      <c r="I26" s="43">
        <f>I25-B25</f>
        <v>21395412.017897964</v>
      </c>
      <c r="J26" s="43">
        <f>J25-I25</f>
        <v>16199477.589746296</v>
      </c>
    </row>
    <row r="27" spans="1:10" ht="16.5" thickTop="1" x14ac:dyDescent="0.25"/>
    <row r="30" spans="1:10" x14ac:dyDescent="0.25">
      <c r="A30" s="20" t="s">
        <v>95</v>
      </c>
    </row>
    <row r="31" spans="1:10" x14ac:dyDescent="0.25">
      <c r="A31" s="44"/>
      <c r="B31" s="45" t="s">
        <v>2</v>
      </c>
      <c r="C31" s="45"/>
      <c r="D31" s="45" t="s">
        <v>3</v>
      </c>
      <c r="F31" s="46" t="s">
        <v>3</v>
      </c>
      <c r="G31" s="47" t="s">
        <v>4</v>
      </c>
    </row>
    <row r="32" spans="1:10" x14ac:dyDescent="0.25">
      <c r="A32" s="48" t="s">
        <v>96</v>
      </c>
      <c r="B32" s="41"/>
      <c r="C32" s="41"/>
      <c r="D32" s="41"/>
    </row>
    <row r="33" spans="1:10" x14ac:dyDescent="0.25">
      <c r="A33" s="49" t="s">
        <v>97</v>
      </c>
      <c r="B33" s="39">
        <v>6.2E-2</v>
      </c>
      <c r="C33" s="41"/>
      <c r="D33" s="39">
        <v>6.2E-2</v>
      </c>
      <c r="F33" s="12">
        <v>6.3983999999999999E-2</v>
      </c>
      <c r="G33" s="12">
        <v>6.6031487999999999E-2</v>
      </c>
    </row>
    <row r="34" spans="1:10" x14ac:dyDescent="0.25">
      <c r="A34" s="49" t="s">
        <v>98</v>
      </c>
      <c r="B34" s="39">
        <v>1.4500000000000001E-2</v>
      </c>
      <c r="C34" s="41"/>
      <c r="D34" s="39">
        <v>1.4500000000000001E-2</v>
      </c>
      <c r="F34" s="12">
        <v>1.4964000000000002E-2</v>
      </c>
      <c r="G34" s="12">
        <v>1.5442848000000002E-2</v>
      </c>
    </row>
    <row r="35" spans="1:10" x14ac:dyDescent="0.25">
      <c r="A35" s="49" t="s">
        <v>99</v>
      </c>
      <c r="B35" s="39">
        <v>1.5E-3</v>
      </c>
      <c r="C35" s="41"/>
      <c r="D35" s="39">
        <v>1.5E-3</v>
      </c>
      <c r="F35" s="12">
        <v>1.5480000000000001E-3</v>
      </c>
      <c r="G35" s="12">
        <v>1.5975360000000001E-3</v>
      </c>
    </row>
    <row r="36" spans="1:10" x14ac:dyDescent="0.25">
      <c r="A36" s="49" t="s">
        <v>100</v>
      </c>
      <c r="B36" s="39">
        <v>2.81E-3</v>
      </c>
      <c r="C36" s="41"/>
      <c r="D36" s="39">
        <v>2.81E-3</v>
      </c>
      <c r="F36" s="12">
        <v>2.8999200000000003E-3</v>
      </c>
      <c r="G36" s="12">
        <v>2.9927174400000002E-3</v>
      </c>
    </row>
    <row r="37" spans="1:10" x14ac:dyDescent="0.25">
      <c r="A37" s="49" t="s">
        <v>101</v>
      </c>
      <c r="B37" s="39">
        <v>0.2009</v>
      </c>
      <c r="C37" s="41"/>
      <c r="D37" s="39">
        <f>B37+2.5%</f>
        <v>0.22589999999999999</v>
      </c>
      <c r="E37" s="10"/>
      <c r="F37" s="12">
        <v>0.23585659999999997</v>
      </c>
      <c r="G37" s="12">
        <v>0.24458329419999994</v>
      </c>
    </row>
    <row r="38" spans="1:10" x14ac:dyDescent="0.25">
      <c r="A38" s="50" t="s">
        <v>102</v>
      </c>
      <c r="B38" s="51">
        <f>SUM(B33:B37)</f>
        <v>0.28171000000000002</v>
      </c>
      <c r="C38" s="41"/>
      <c r="D38" s="51">
        <f>SUM(D33:D37)</f>
        <v>0.30670999999999998</v>
      </c>
      <c r="F38" s="51">
        <f t="shared" ref="F38:G38" si="6">SUM(F33:F37)</f>
        <v>0.31925251999999998</v>
      </c>
      <c r="G38" s="51">
        <f t="shared" si="6"/>
        <v>0.33064788363999997</v>
      </c>
    </row>
    <row r="39" spans="1:10" x14ac:dyDescent="0.25">
      <c r="A39" s="48" t="s">
        <v>103</v>
      </c>
      <c r="B39" s="41"/>
      <c r="C39" s="41"/>
      <c r="D39" s="41"/>
    </row>
    <row r="40" spans="1:10" x14ac:dyDescent="0.25">
      <c r="A40" s="49" t="s">
        <v>104</v>
      </c>
      <c r="B40" s="52">
        <v>15657</v>
      </c>
      <c r="C40" s="52"/>
      <c r="D40" s="52">
        <f>1.05*B40</f>
        <v>16439.850000000002</v>
      </c>
      <c r="F40" s="53">
        <v>16392.878999999997</v>
      </c>
      <c r="G40" s="53">
        <v>17163.344312999994</v>
      </c>
    </row>
    <row r="41" spans="1:10" x14ac:dyDescent="0.25">
      <c r="A41" s="49" t="s">
        <v>105</v>
      </c>
      <c r="B41" s="52">
        <v>34.32</v>
      </c>
      <c r="C41" s="52"/>
      <c r="D41" s="52">
        <f>B41</f>
        <v>34.32</v>
      </c>
      <c r="F41" s="53">
        <v>35.418240000000004</v>
      </c>
      <c r="G41" s="53">
        <v>36.551623680000006</v>
      </c>
    </row>
    <row r="42" spans="1:10" x14ac:dyDescent="0.25">
      <c r="A42" s="49" t="s">
        <v>106</v>
      </c>
      <c r="B42" s="52">
        <v>12</v>
      </c>
      <c r="C42" s="52"/>
      <c r="D42" s="52">
        <f>B42</f>
        <v>12</v>
      </c>
      <c r="F42" s="53">
        <v>12.384</v>
      </c>
      <c r="G42" s="53">
        <v>12.780288000000001</v>
      </c>
    </row>
    <row r="43" spans="1:10" ht="16.5" thickBot="1" x14ac:dyDescent="0.3">
      <c r="A43" s="54" t="s">
        <v>102</v>
      </c>
      <c r="B43" s="55">
        <f>SUM(B40:B42)</f>
        <v>15703.32</v>
      </c>
      <c r="C43" s="56"/>
      <c r="D43" s="55">
        <f>SUM(D40:D42)</f>
        <v>16486.170000000002</v>
      </c>
      <c r="F43" s="55">
        <f t="shared" ref="F43:G43" si="7">SUM(F40:F42)</f>
        <v>16440.681239999994</v>
      </c>
      <c r="G43" s="55">
        <f t="shared" si="7"/>
        <v>17212.676224679995</v>
      </c>
    </row>
    <row r="44" spans="1:10" ht="16.5" thickTop="1" x14ac:dyDescent="0.25"/>
    <row r="45" spans="1:10" x14ac:dyDescent="0.25">
      <c r="A45" s="20" t="s">
        <v>107</v>
      </c>
    </row>
    <row r="46" spans="1:10" x14ac:dyDescent="0.25">
      <c r="A46" s="44"/>
      <c r="B46" s="45" t="s">
        <v>2</v>
      </c>
      <c r="C46" s="45"/>
      <c r="D46" s="45" t="s">
        <v>3</v>
      </c>
      <c r="F46" s="46" t="s">
        <v>3</v>
      </c>
      <c r="G46" s="47" t="s">
        <v>4</v>
      </c>
      <c r="I46" s="46" t="s">
        <v>3</v>
      </c>
      <c r="J46" s="47" t="s">
        <v>4</v>
      </c>
    </row>
    <row r="47" spans="1:10" x14ac:dyDescent="0.25">
      <c r="A47" s="41" t="s">
        <v>108</v>
      </c>
      <c r="B47" s="57" t="s">
        <v>109</v>
      </c>
      <c r="C47" s="57"/>
      <c r="D47" s="57" t="s">
        <v>109</v>
      </c>
      <c r="F47" s="57" t="s">
        <v>109</v>
      </c>
    </row>
    <row r="48" spans="1:10" x14ac:dyDescent="0.25">
      <c r="A48" s="58">
        <v>30000</v>
      </c>
      <c r="B48" s="59">
        <f>B54/$A48</f>
        <v>0.80515400000000004</v>
      </c>
      <c r="C48" s="57"/>
      <c r="D48" s="59">
        <f>D54/$A48</f>
        <v>0.85624900000000004</v>
      </c>
      <c r="F48" s="59">
        <f>F54/$A48</f>
        <v>0.86727522799999979</v>
      </c>
      <c r="G48" s="59">
        <f>G54/$A48</f>
        <v>0.9044037577959998</v>
      </c>
    </row>
    <row r="49" spans="1:10" x14ac:dyDescent="0.25">
      <c r="A49" s="58">
        <v>47000</v>
      </c>
      <c r="B49" s="59">
        <f t="shared" ref="B49:D51" si="8">B55/$A49</f>
        <v>0.61582319148936171</v>
      </c>
      <c r="C49" s="57"/>
      <c r="D49" s="59">
        <f t="shared" si="8"/>
        <v>0.65747957446808514</v>
      </c>
      <c r="E49" s="10"/>
      <c r="F49" s="59">
        <f t="shared" ref="F49:G49" si="9">F55/$A49</f>
        <v>0.66905424851063811</v>
      </c>
      <c r="G49" s="59">
        <f t="shared" si="9"/>
        <v>0.69687503735659562</v>
      </c>
    </row>
    <row r="50" spans="1:10" x14ac:dyDescent="0.25">
      <c r="A50" s="58">
        <v>82000</v>
      </c>
      <c r="B50" s="59">
        <f t="shared" si="8"/>
        <v>0.47321390243902439</v>
      </c>
      <c r="C50" s="57"/>
      <c r="D50" s="59">
        <f t="shared" si="8"/>
        <v>0.50776085365853663</v>
      </c>
      <c r="F50" s="59">
        <f t="shared" ref="F50:G50" si="10">F56/$A50</f>
        <v>0.51974863268292681</v>
      </c>
      <c r="G50" s="59">
        <f t="shared" si="10"/>
        <v>0.54055856930682922</v>
      </c>
    </row>
    <row r="51" spans="1:10" x14ac:dyDescent="0.25">
      <c r="A51" s="58">
        <v>110000</v>
      </c>
      <c r="B51" s="59">
        <f t="shared" si="8"/>
        <v>0.42446745454545454</v>
      </c>
      <c r="C51" s="57"/>
      <c r="D51" s="59">
        <f t="shared" si="8"/>
        <v>0.45658427272727276</v>
      </c>
      <c r="F51" s="59">
        <f t="shared" ref="F51:G51" si="11">F57/$A51</f>
        <v>0.46871325854545443</v>
      </c>
      <c r="G51" s="59">
        <f t="shared" si="11"/>
        <v>0.48712675840981817</v>
      </c>
    </row>
    <row r="52" spans="1:10" x14ac:dyDescent="0.25">
      <c r="A52" s="58"/>
      <c r="B52" s="59"/>
      <c r="C52" s="57"/>
      <c r="D52" s="59"/>
      <c r="F52" s="59"/>
    </row>
    <row r="53" spans="1:10" x14ac:dyDescent="0.25">
      <c r="A53" s="57"/>
      <c r="B53" s="57" t="s">
        <v>110</v>
      </c>
      <c r="C53" s="57"/>
      <c r="D53" s="57" t="s">
        <v>110</v>
      </c>
      <c r="F53" s="57" t="s">
        <v>110</v>
      </c>
    </row>
    <row r="54" spans="1:10" x14ac:dyDescent="0.25">
      <c r="A54" s="58">
        <v>30000</v>
      </c>
      <c r="B54" s="60">
        <f>B$43+B$38*$A54</f>
        <v>24154.620000000003</v>
      </c>
      <c r="C54" s="57"/>
      <c r="D54" s="60">
        <f>D$43+D$38*$A54</f>
        <v>25687.47</v>
      </c>
      <c r="E54" s="10"/>
      <c r="F54" s="60">
        <f>F$43+F$38*$A54</f>
        <v>26018.256839999995</v>
      </c>
      <c r="G54" s="60">
        <f>G$43+G$38*$A54</f>
        <v>27132.112733879992</v>
      </c>
      <c r="I54" s="10">
        <f>F54/B54-1</f>
        <v>7.7154467344135114E-2</v>
      </c>
      <c r="J54" s="11">
        <f>G54/F54-1</f>
        <v>4.2810550327398333E-2</v>
      </c>
    </row>
    <row r="55" spans="1:10" x14ac:dyDescent="0.25">
      <c r="A55" s="58">
        <v>47000</v>
      </c>
      <c r="B55" s="60">
        <f t="shared" ref="B55:G57" si="12">B$43+B$38*$A55</f>
        <v>28943.690000000002</v>
      </c>
      <c r="C55" s="57"/>
      <c r="D55" s="60">
        <f t="shared" si="12"/>
        <v>30901.54</v>
      </c>
      <c r="E55" s="10"/>
      <c r="F55" s="60">
        <f t="shared" si="12"/>
        <v>31445.549679999993</v>
      </c>
      <c r="G55" s="60">
        <f t="shared" si="12"/>
        <v>32753.126755759993</v>
      </c>
      <c r="I55" s="10">
        <f t="shared" ref="I55:I57" si="13">F55/B55-1</f>
        <v>8.6438863876720395E-2</v>
      </c>
      <c r="J55" s="11">
        <f t="shared" ref="J55:J57" si="14">G55/F55-1</f>
        <v>4.1582261689374844E-2</v>
      </c>
    </row>
    <row r="56" spans="1:10" x14ac:dyDescent="0.25">
      <c r="A56" s="58">
        <v>82000</v>
      </c>
      <c r="B56" s="60">
        <f t="shared" si="12"/>
        <v>38803.54</v>
      </c>
      <c r="C56" s="57"/>
      <c r="D56" s="60">
        <f t="shared" si="12"/>
        <v>41636.39</v>
      </c>
      <c r="E56" s="10"/>
      <c r="F56" s="60">
        <f t="shared" si="12"/>
        <v>42619.387879999995</v>
      </c>
      <c r="G56" s="60">
        <f t="shared" si="12"/>
        <v>44325.802683159993</v>
      </c>
      <c r="I56" s="10">
        <f t="shared" si="13"/>
        <v>9.8337622804517189E-2</v>
      </c>
      <c r="J56" s="11">
        <f t="shared" si="14"/>
        <v>4.0038463432760185E-2</v>
      </c>
    </row>
    <row r="57" spans="1:10" ht="16.5" thickBot="1" x14ac:dyDescent="0.3">
      <c r="A57" s="61">
        <v>110000</v>
      </c>
      <c r="B57" s="60">
        <f t="shared" si="12"/>
        <v>46691.42</v>
      </c>
      <c r="C57" s="62"/>
      <c r="D57" s="60">
        <f t="shared" si="12"/>
        <v>50224.270000000004</v>
      </c>
      <c r="E57" s="10"/>
      <c r="F57" s="60">
        <f t="shared" si="12"/>
        <v>51558.458439999988</v>
      </c>
      <c r="G57" s="60">
        <f t="shared" si="12"/>
        <v>53583.943425079997</v>
      </c>
      <c r="I57" s="10">
        <f t="shared" si="13"/>
        <v>0.10423838983693345</v>
      </c>
      <c r="J57" s="11">
        <f t="shared" si="14"/>
        <v>3.9285212288437954E-2</v>
      </c>
    </row>
    <row r="58" spans="1:10" ht="16.5" thickTop="1" x14ac:dyDescent="0.25"/>
    <row r="59" spans="1:10" x14ac:dyDescent="0.25">
      <c r="A59" s="20" t="s">
        <v>111</v>
      </c>
      <c r="E59" s="11"/>
      <c r="G59" t="s">
        <v>112</v>
      </c>
      <c r="I59" s="11">
        <f>(I54+I55)/2</f>
        <v>8.1796665610427755E-2</v>
      </c>
      <c r="J59" s="11">
        <f>(J54+J55)/2</f>
        <v>4.2196406008386589E-2</v>
      </c>
    </row>
    <row r="60" spans="1:10" x14ac:dyDescent="0.25">
      <c r="A60" s="63" t="s">
        <v>113</v>
      </c>
      <c r="B60" s="63" t="s">
        <v>114</v>
      </c>
      <c r="C60" s="141" t="s">
        <v>115</v>
      </c>
      <c r="D60" s="141"/>
      <c r="E60" s="11"/>
      <c r="G60" t="s">
        <v>116</v>
      </c>
      <c r="I60" s="11">
        <f>(I55+I56+I57)/3</f>
        <v>9.6338292172723675E-2</v>
      </c>
      <c r="J60" s="11">
        <f>(J55+J56+J57)/3</f>
        <v>4.0301979136857659E-2</v>
      </c>
    </row>
    <row r="61" spans="1:10" x14ac:dyDescent="0.25">
      <c r="A61" s="64" t="s">
        <v>117</v>
      </c>
      <c r="B61" s="65">
        <v>0.25280000000000002</v>
      </c>
      <c r="C61" s="66"/>
      <c r="D61" s="67">
        <v>0.249</v>
      </c>
    </row>
    <row r="62" spans="1:10" x14ac:dyDescent="0.25">
      <c r="A62" s="64" t="s">
        <v>118</v>
      </c>
      <c r="B62" s="65">
        <v>0.19309999999999999</v>
      </c>
      <c r="C62" s="66"/>
      <c r="D62" s="67">
        <v>0.47299999999999998</v>
      </c>
    </row>
    <row r="63" spans="1:10" x14ac:dyDescent="0.25">
      <c r="A63" s="64" t="s">
        <v>119</v>
      </c>
      <c r="B63" s="65">
        <v>0.25719999999999998</v>
      </c>
      <c r="C63" s="66"/>
      <c r="D63" s="67">
        <v>7.0999999999999994E-2</v>
      </c>
    </row>
    <row r="64" spans="1:10" x14ac:dyDescent="0.25">
      <c r="A64" s="64" t="s">
        <v>120</v>
      </c>
      <c r="B64" s="65">
        <v>0.1394</v>
      </c>
      <c r="C64" s="66"/>
      <c r="D64" s="67">
        <v>0.152</v>
      </c>
    </row>
    <row r="65" spans="1:4" ht="27" thickBot="1" x14ac:dyDescent="0.3">
      <c r="A65" s="68" t="s">
        <v>121</v>
      </c>
      <c r="B65" s="69" t="s">
        <v>122</v>
      </c>
      <c r="C65" s="70"/>
      <c r="D65" s="71">
        <v>5.5E-2</v>
      </c>
    </row>
    <row r="66" spans="1:4" ht="16.5" thickTop="1" x14ac:dyDescent="0.25"/>
  </sheetData>
  <mergeCells count="1">
    <mergeCell ref="C60:D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G20" sqref="G20"/>
    </sheetView>
  </sheetViews>
  <sheetFormatPr defaultColWidth="11" defaultRowHeight="15.75" x14ac:dyDescent="0.25"/>
  <cols>
    <col min="2" max="2" width="15" bestFit="1" customWidth="1"/>
    <col min="4" max="4" width="14.5" customWidth="1"/>
    <col min="5" max="5" width="12.5" customWidth="1"/>
    <col min="6" max="6" width="15" bestFit="1" customWidth="1"/>
    <col min="8" max="8" width="13" bestFit="1" customWidth="1"/>
  </cols>
  <sheetData>
    <row r="1" spans="1:8" x14ac:dyDescent="0.25">
      <c r="A1" t="s">
        <v>230</v>
      </c>
    </row>
    <row r="2" spans="1:8" x14ac:dyDescent="0.25">
      <c r="A2" t="s">
        <v>231</v>
      </c>
    </row>
    <row r="4" spans="1:8" ht="31.5" x14ac:dyDescent="0.25">
      <c r="A4" s="46"/>
      <c r="B4" s="97" t="s">
        <v>171</v>
      </c>
      <c r="C4" s="97" t="s">
        <v>173</v>
      </c>
      <c r="D4" s="97" t="s">
        <v>174</v>
      </c>
      <c r="E4" s="97" t="s">
        <v>175</v>
      </c>
      <c r="F4" s="97" t="s">
        <v>227</v>
      </c>
    </row>
    <row r="5" spans="1:8" x14ac:dyDescent="0.25">
      <c r="A5" t="s">
        <v>4</v>
      </c>
      <c r="B5" s="15">
        <f>0.51*B6/0.49</f>
        <v>123127724.20408164</v>
      </c>
      <c r="C5" s="10">
        <f t="shared" ref="C5:C19" si="0">B5/B6-1</f>
        <v>4.081632653061229E-2</v>
      </c>
      <c r="D5" s="15">
        <f t="shared" ref="D5:D18" si="1">1.017353997*D6</f>
        <v>123127724.11506732</v>
      </c>
      <c r="E5" s="15">
        <f>1.0248374*E6</f>
        <v>123127709.78239937</v>
      </c>
      <c r="F5" s="15">
        <f t="shared" ref="F5:F8" si="2">1.0754258*F6</f>
        <v>123127734.43155706</v>
      </c>
    </row>
    <row r="6" spans="1:8" x14ac:dyDescent="0.25">
      <c r="A6" t="s">
        <v>3</v>
      </c>
      <c r="B6" s="15">
        <v>118299186</v>
      </c>
      <c r="C6" s="10">
        <f t="shared" si="0"/>
        <v>7.3065535030392814E-2</v>
      </c>
      <c r="D6" s="15">
        <f t="shared" si="1"/>
        <v>121027414.72304581</v>
      </c>
      <c r="E6" s="15">
        <f t="shared" ref="E6:E12" si="3">1.0248374*E7</f>
        <v>120143653.79561614</v>
      </c>
      <c r="F6" s="15">
        <f t="shared" si="2"/>
        <v>114492077.86493224</v>
      </c>
    </row>
    <row r="7" spans="1:8" x14ac:dyDescent="0.25">
      <c r="A7" s="92" t="s">
        <v>2</v>
      </c>
      <c r="B7" s="93">
        <v>110244139</v>
      </c>
      <c r="C7" s="94">
        <f t="shared" si="0"/>
        <v>3.4913549943696776E-2</v>
      </c>
      <c r="D7" s="93">
        <f t="shared" si="1"/>
        <v>118962932.35189973</v>
      </c>
      <c r="E7" s="93">
        <f t="shared" si="3"/>
        <v>117231917.76140891</v>
      </c>
      <c r="F7" s="15">
        <f t="shared" si="2"/>
        <v>106462089.58807965</v>
      </c>
    </row>
    <row r="8" spans="1:8" x14ac:dyDescent="0.25">
      <c r="A8" s="92" t="s">
        <v>56</v>
      </c>
      <c r="B8" s="93">
        <v>106524974</v>
      </c>
      <c r="C8" s="94">
        <f t="shared" si="0"/>
        <v>0.12535632682929165</v>
      </c>
      <c r="D8" s="93">
        <f t="shared" si="1"/>
        <v>116933665.86527474</v>
      </c>
      <c r="E8" s="93">
        <f t="shared" si="3"/>
        <v>114390748.97287014</v>
      </c>
      <c r="F8" s="15">
        <f t="shared" si="2"/>
        <v>98995290.598458424</v>
      </c>
    </row>
    <row r="9" spans="1:8" x14ac:dyDescent="0.25">
      <c r="A9" t="s">
        <v>55</v>
      </c>
      <c r="B9" s="15">
        <v>94658884</v>
      </c>
      <c r="C9" s="10">
        <f t="shared" si="0"/>
        <v>0.10587934730432358</v>
      </c>
      <c r="D9" s="15">
        <f t="shared" si="1"/>
        <v>114939014.55156393</v>
      </c>
      <c r="E9" s="15">
        <f t="shared" si="3"/>
        <v>111618437.20074047</v>
      </c>
      <c r="F9" s="15">
        <f>1.0754258*F10</f>
        <v>92052181.190425605</v>
      </c>
    </row>
    <row r="10" spans="1:8" x14ac:dyDescent="0.25">
      <c r="A10" t="s">
        <v>54</v>
      </c>
      <c r="B10" s="15">
        <v>85596032</v>
      </c>
      <c r="C10" s="10">
        <f t="shared" si="0"/>
        <v>0.10365222801289709</v>
      </c>
      <c r="D10" s="15">
        <f t="shared" si="1"/>
        <v>112978387.94608277</v>
      </c>
      <c r="E10" s="15">
        <f t="shared" si="3"/>
        <v>108913313.66394363</v>
      </c>
      <c r="F10" s="15">
        <f>B10</f>
        <v>85596032</v>
      </c>
    </row>
    <row r="11" spans="1:8" x14ac:dyDescent="0.25">
      <c r="A11" s="92" t="s">
        <v>170</v>
      </c>
      <c r="B11" s="93">
        <v>77557069</v>
      </c>
      <c r="C11" s="94">
        <f t="shared" si="0"/>
        <v>6.4398720933052322E-2</v>
      </c>
      <c r="D11" s="93">
        <f t="shared" si="1"/>
        <v>111051205.65627734</v>
      </c>
      <c r="E11" s="93">
        <f t="shared" si="3"/>
        <v>106273750.02507094</v>
      </c>
      <c r="F11" s="93"/>
      <c r="H11" s="96"/>
    </row>
    <row r="12" spans="1:8" x14ac:dyDescent="0.25">
      <c r="A12" s="92" t="s">
        <v>52</v>
      </c>
      <c r="B12" s="93">
        <v>72864677</v>
      </c>
      <c r="C12" s="94">
        <f t="shared" si="0"/>
        <v>-0.24442963610526802</v>
      </c>
      <c r="D12" s="93">
        <f t="shared" si="1"/>
        <v>109156897.18991426</v>
      </c>
      <c r="E12" s="93">
        <f t="shared" si="3"/>
        <v>103698157.41021056</v>
      </c>
      <c r="F12" s="93"/>
    </row>
    <row r="13" spans="1:8" x14ac:dyDescent="0.25">
      <c r="A13" t="s">
        <v>68</v>
      </c>
      <c r="B13" s="15">
        <v>96436653</v>
      </c>
      <c r="C13" s="10">
        <f t="shared" si="0"/>
        <v>2.0387519046695557E-2</v>
      </c>
      <c r="D13" s="15">
        <f t="shared" si="1"/>
        <v>107294901.78620122</v>
      </c>
      <c r="E13" s="15">
        <f>1.0248374*E14</f>
        <v>101184985.45253184</v>
      </c>
      <c r="F13" s="15"/>
    </row>
    <row r="14" spans="1:8" x14ac:dyDescent="0.25">
      <c r="A14" t="s">
        <v>51</v>
      </c>
      <c r="B14" s="15">
        <v>94509832</v>
      </c>
      <c r="C14" s="10">
        <f t="shared" si="0"/>
        <v>-1.8995838784908736E-2</v>
      </c>
      <c r="D14" s="15">
        <f t="shared" si="1"/>
        <v>105464668.24978839</v>
      </c>
      <c r="E14" s="15">
        <f>1.0248374*B15</f>
        <v>98732721.359048605</v>
      </c>
      <c r="F14" s="15"/>
    </row>
    <row r="15" spans="1:8" x14ac:dyDescent="0.25">
      <c r="A15" s="92" t="s">
        <v>50</v>
      </c>
      <c r="B15" s="93">
        <v>96339889</v>
      </c>
      <c r="C15" s="94">
        <f t="shared" si="0"/>
        <v>-5.4745283731324368E-2</v>
      </c>
      <c r="D15" s="93">
        <f t="shared" si="1"/>
        <v>103665654.78760131</v>
      </c>
      <c r="E15" s="93">
        <f>B15</f>
        <v>96339889</v>
      </c>
      <c r="F15" s="93"/>
    </row>
    <row r="16" spans="1:8" x14ac:dyDescent="0.25">
      <c r="A16" s="92" t="s">
        <v>49</v>
      </c>
      <c r="B16" s="93">
        <v>101919501</v>
      </c>
      <c r="C16" s="94">
        <f t="shared" si="0"/>
        <v>0.1603612133794492</v>
      </c>
      <c r="D16" s="93">
        <f t="shared" si="1"/>
        <v>101897328.84845716</v>
      </c>
      <c r="E16" s="93"/>
      <c r="F16" s="93"/>
    </row>
    <row r="17" spans="1:6" x14ac:dyDescent="0.25">
      <c r="A17" t="s">
        <v>48</v>
      </c>
      <c r="B17" s="15">
        <v>87834288</v>
      </c>
      <c r="C17" s="10">
        <f t="shared" si="0"/>
        <v>3.3825524665263007E-2</v>
      </c>
      <c r="D17" s="15">
        <f t="shared" si="1"/>
        <v>100159166.9654168</v>
      </c>
      <c r="E17" s="15"/>
      <c r="F17" s="15"/>
    </row>
    <row r="18" spans="1:6" x14ac:dyDescent="0.25">
      <c r="A18" t="s">
        <v>69</v>
      </c>
      <c r="B18" s="15">
        <v>84960456</v>
      </c>
      <c r="C18" s="10">
        <f t="shared" si="0"/>
        <v>5.7103383061054336E-2</v>
      </c>
      <c r="D18" s="15">
        <f t="shared" si="1"/>
        <v>98450654.600826025</v>
      </c>
      <c r="E18" s="15"/>
      <c r="F18" s="15"/>
    </row>
    <row r="19" spans="1:6" x14ac:dyDescent="0.25">
      <c r="A19" s="92" t="s">
        <v>47</v>
      </c>
      <c r="B19" s="93">
        <v>80371000</v>
      </c>
      <c r="C19" s="94">
        <f t="shared" si="0"/>
        <v>1.7715139543129199E-2</v>
      </c>
      <c r="D19" s="93">
        <f>1.017353997*D20</f>
        <v>96771285.994000003</v>
      </c>
      <c r="E19" s="93"/>
      <c r="F19" s="93"/>
    </row>
    <row r="20" spans="1:6" x14ac:dyDescent="0.25">
      <c r="A20" s="92" t="s">
        <v>46</v>
      </c>
      <c r="B20" s="93">
        <v>78972000</v>
      </c>
      <c r="C20" s="94">
        <f>B20/B21-1</f>
        <v>-0.15536161201309118</v>
      </c>
      <c r="D20" s="95">
        <f>1.017353997*B21</f>
        <v>95120564.011506006</v>
      </c>
      <c r="E20" s="95"/>
      <c r="F20" s="95"/>
    </row>
    <row r="21" spans="1:6" x14ac:dyDescent="0.25">
      <c r="A21" t="s">
        <v>45</v>
      </c>
      <c r="B21" s="15">
        <v>93498000</v>
      </c>
      <c r="D21" s="132">
        <f>B21</f>
        <v>93498000</v>
      </c>
    </row>
    <row r="22" spans="1:6" x14ac:dyDescent="0.25">
      <c r="C22" s="12"/>
    </row>
    <row r="23" spans="1:6" x14ac:dyDescent="0.25">
      <c r="A23" t="s">
        <v>172</v>
      </c>
    </row>
    <row r="24" spans="1:6" x14ac:dyDescent="0.25">
      <c r="A24" t="s">
        <v>225</v>
      </c>
    </row>
    <row r="25" spans="1:6" x14ac:dyDescent="0.25">
      <c r="A25"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tabSelected="1" workbookViewId="0">
      <selection activeCell="I1" sqref="I1"/>
    </sheetView>
  </sheetViews>
  <sheetFormatPr defaultColWidth="11" defaultRowHeight="15.75" x14ac:dyDescent="0.25"/>
  <cols>
    <col min="1" max="1" width="23.625" customWidth="1"/>
    <col min="2" max="12" width="9.5" customWidth="1"/>
  </cols>
  <sheetData>
    <row r="1" spans="1:14" x14ac:dyDescent="0.25">
      <c r="A1" t="s">
        <v>31</v>
      </c>
      <c r="I1" t="s">
        <v>233</v>
      </c>
    </row>
    <row r="3" spans="1:14" x14ac:dyDescent="0.25">
      <c r="A3" t="s">
        <v>29</v>
      </c>
      <c r="B3" s="1" t="s">
        <v>0</v>
      </c>
      <c r="C3" s="14" t="s">
        <v>1</v>
      </c>
      <c r="D3" s="14"/>
      <c r="E3" s="14"/>
      <c r="F3" s="14"/>
      <c r="G3" s="14"/>
      <c r="H3" s="14"/>
      <c r="I3" s="14"/>
      <c r="J3" s="14"/>
      <c r="K3" s="14"/>
      <c r="L3" s="14"/>
    </row>
    <row r="5" spans="1:14" x14ac:dyDescent="0.25">
      <c r="B5" s="3" t="s">
        <v>2</v>
      </c>
      <c r="C5" s="4" t="s">
        <v>3</v>
      </c>
      <c r="D5" s="4" t="s">
        <v>4</v>
      </c>
      <c r="E5" s="5" t="s">
        <v>5</v>
      </c>
      <c r="F5" s="5" t="s">
        <v>6</v>
      </c>
      <c r="G5" s="4" t="s">
        <v>7</v>
      </c>
      <c r="H5" s="4" t="s">
        <v>8</v>
      </c>
      <c r="I5" s="5" t="s">
        <v>9</v>
      </c>
      <c r="J5" s="5" t="s">
        <v>10</v>
      </c>
      <c r="K5" s="4" t="s">
        <v>11</v>
      </c>
      <c r="L5" s="4" t="s">
        <v>12</v>
      </c>
      <c r="M5" s="5" t="s">
        <v>33</v>
      </c>
      <c r="N5" s="5" t="s">
        <v>39</v>
      </c>
    </row>
    <row r="6" spans="1:14" x14ac:dyDescent="0.25">
      <c r="A6" s="20" t="s">
        <v>23</v>
      </c>
      <c r="B6" s="21">
        <v>12150</v>
      </c>
      <c r="C6" s="21">
        <v>12339</v>
      </c>
      <c r="D6" s="21">
        <f>C6*(1+D11)</f>
        <v>12524.084999999999</v>
      </c>
      <c r="E6" s="21">
        <f t="shared" ref="E6:N6" si="0">D6*(1+E11)</f>
        <v>12711.946274999998</v>
      </c>
      <c r="F6" s="21">
        <f t="shared" si="0"/>
        <v>12902.625469124998</v>
      </c>
      <c r="G6" s="21">
        <f t="shared" si="0"/>
        <v>13096.164851161871</v>
      </c>
      <c r="H6" s="21">
        <f t="shared" si="0"/>
        <v>13292.607323929298</v>
      </c>
      <c r="I6" s="21">
        <f t="shared" si="0"/>
        <v>13491.996433788236</v>
      </c>
      <c r="J6" s="21">
        <f t="shared" si="0"/>
        <v>13694.376380295058</v>
      </c>
      <c r="K6" s="21">
        <f t="shared" si="0"/>
        <v>13899.792025999483</v>
      </c>
      <c r="L6" s="21">
        <f t="shared" si="0"/>
        <v>14108.288906389473</v>
      </c>
      <c r="M6" s="21">
        <f t="shared" si="0"/>
        <v>14319.913239985313</v>
      </c>
      <c r="N6" s="21">
        <f t="shared" si="0"/>
        <v>14534.711938585091</v>
      </c>
    </row>
    <row r="7" spans="1:14" x14ac:dyDescent="0.25">
      <c r="A7" t="s">
        <v>36</v>
      </c>
      <c r="B7" s="15">
        <v>11044</v>
      </c>
      <c r="C7" s="15">
        <v>11224</v>
      </c>
      <c r="D7" s="22">
        <f t="shared" ref="D7:N8" si="1">C7*(1+D12)</f>
        <v>11504.599999999999</v>
      </c>
      <c r="E7" s="22">
        <f t="shared" si="1"/>
        <v>11792.214999999998</v>
      </c>
      <c r="F7" s="22">
        <f t="shared" si="1"/>
        <v>12087.020374999996</v>
      </c>
      <c r="G7" s="22">
        <f t="shared" si="1"/>
        <v>12389.195884374994</v>
      </c>
      <c r="H7" s="22">
        <f t="shared" si="1"/>
        <v>12698.925781484368</v>
      </c>
      <c r="I7" s="22">
        <f t="shared" si="1"/>
        <v>13016.398926021477</v>
      </c>
      <c r="J7" s="22">
        <f t="shared" si="1"/>
        <v>13341.808899172012</v>
      </c>
      <c r="K7" s="22">
        <f t="shared" si="1"/>
        <v>13675.354121651311</v>
      </c>
      <c r="L7" s="22">
        <f t="shared" si="1"/>
        <v>14017.237974692593</v>
      </c>
      <c r="M7" s="22">
        <f t="shared" si="1"/>
        <v>14367.668924059906</v>
      </c>
      <c r="N7" s="22">
        <f t="shared" si="1"/>
        <v>14726.860647161402</v>
      </c>
    </row>
    <row r="8" spans="1:14" x14ac:dyDescent="0.25">
      <c r="A8" s="20" t="s">
        <v>25</v>
      </c>
      <c r="B8" s="21">
        <v>21789</v>
      </c>
      <c r="C8" s="21">
        <v>22761</v>
      </c>
      <c r="D8" s="21">
        <f t="shared" si="1"/>
        <v>23785.244999999999</v>
      </c>
      <c r="E8" s="21">
        <f t="shared" si="1"/>
        <v>24855.581024999996</v>
      </c>
      <c r="F8" s="21">
        <f t="shared" si="1"/>
        <v>25974.082171124996</v>
      </c>
      <c r="G8" s="21">
        <f t="shared" si="1"/>
        <v>27142.915868825618</v>
      </c>
      <c r="H8" s="21">
        <f t="shared" si="1"/>
        <v>28364.34708292277</v>
      </c>
      <c r="I8" s="21">
        <f t="shared" si="1"/>
        <v>29640.742701654293</v>
      </c>
      <c r="J8" s="21">
        <f t="shared" si="1"/>
        <v>30974.576123228733</v>
      </c>
      <c r="K8" s="21">
        <f t="shared" si="1"/>
        <v>32368.432048774022</v>
      </c>
      <c r="L8" s="21">
        <f t="shared" si="1"/>
        <v>33825.011490968849</v>
      </c>
      <c r="M8" s="21">
        <f t="shared" si="1"/>
        <v>35347.137008062447</v>
      </c>
      <c r="N8" s="21">
        <f t="shared" si="1"/>
        <v>36937.758173425253</v>
      </c>
    </row>
    <row r="9" spans="1:14" x14ac:dyDescent="0.25">
      <c r="A9" t="s">
        <v>28</v>
      </c>
      <c r="B9" s="15">
        <v>26322</v>
      </c>
      <c r="C9" s="15">
        <v>26604</v>
      </c>
      <c r="D9" s="22">
        <f>C9*(1+D14)</f>
        <v>27269.1</v>
      </c>
      <c r="E9" s="22">
        <f t="shared" ref="E9:N9" si="2">D9*(1+E14)</f>
        <v>27950.827499999996</v>
      </c>
      <c r="F9" s="22">
        <f t="shared" si="2"/>
        <v>28649.598187499992</v>
      </c>
      <c r="G9" s="22">
        <f t="shared" si="2"/>
        <v>29365.838142187491</v>
      </c>
      <c r="H9" s="22">
        <f t="shared" si="2"/>
        <v>30099.984095742177</v>
      </c>
      <c r="I9" s="22">
        <f t="shared" si="2"/>
        <v>30852.483698135729</v>
      </c>
      <c r="J9" s="22">
        <f t="shared" si="2"/>
        <v>31623.79579058912</v>
      </c>
      <c r="K9" s="22">
        <f t="shared" si="2"/>
        <v>32414.390685353846</v>
      </c>
      <c r="L9" s="22">
        <f t="shared" si="2"/>
        <v>33224.750452487693</v>
      </c>
      <c r="M9" s="22">
        <f t="shared" si="2"/>
        <v>34055.369213799881</v>
      </c>
      <c r="N9" s="22">
        <f t="shared" si="2"/>
        <v>34906.753444144873</v>
      </c>
    </row>
    <row r="11" spans="1:14" x14ac:dyDescent="0.25">
      <c r="A11" t="s">
        <v>23</v>
      </c>
      <c r="C11" s="11">
        <f>C6/B6-1</f>
        <v>1.5555555555555545E-2</v>
      </c>
      <c r="D11" s="11">
        <v>1.4999999999999999E-2</v>
      </c>
      <c r="E11" s="11">
        <f t="shared" ref="E11:L11" si="3">D11</f>
        <v>1.4999999999999999E-2</v>
      </c>
      <c r="F11" s="11">
        <f t="shared" si="3"/>
        <v>1.4999999999999999E-2</v>
      </c>
      <c r="G11" s="11">
        <f t="shared" si="3"/>
        <v>1.4999999999999999E-2</v>
      </c>
      <c r="H11" s="11">
        <f t="shared" si="3"/>
        <v>1.4999999999999999E-2</v>
      </c>
      <c r="I11" s="11">
        <f t="shared" si="3"/>
        <v>1.4999999999999999E-2</v>
      </c>
      <c r="J11" s="11">
        <f t="shared" si="3"/>
        <v>1.4999999999999999E-2</v>
      </c>
      <c r="K11" s="11">
        <f t="shared" si="3"/>
        <v>1.4999999999999999E-2</v>
      </c>
      <c r="L11" s="11">
        <f t="shared" si="3"/>
        <v>1.4999999999999999E-2</v>
      </c>
      <c r="M11" s="11">
        <f t="shared" ref="M11:N11" si="4">L11</f>
        <v>1.4999999999999999E-2</v>
      </c>
      <c r="N11" s="11">
        <f t="shared" si="4"/>
        <v>1.4999999999999999E-2</v>
      </c>
    </row>
    <row r="12" spans="1:14" x14ac:dyDescent="0.25">
      <c r="A12" t="s">
        <v>28</v>
      </c>
      <c r="C12" s="11">
        <f>C7/B7-1</f>
        <v>1.6298442593263296E-2</v>
      </c>
      <c r="D12" s="11">
        <v>2.5000000000000001E-2</v>
      </c>
      <c r="E12" s="11">
        <f t="shared" ref="E12:L14" si="5">D12</f>
        <v>2.5000000000000001E-2</v>
      </c>
      <c r="F12" s="11">
        <f t="shared" si="5"/>
        <v>2.5000000000000001E-2</v>
      </c>
      <c r="G12" s="11">
        <f t="shared" si="5"/>
        <v>2.5000000000000001E-2</v>
      </c>
      <c r="H12" s="11">
        <f t="shared" si="5"/>
        <v>2.5000000000000001E-2</v>
      </c>
      <c r="I12" s="11">
        <f t="shared" si="5"/>
        <v>2.5000000000000001E-2</v>
      </c>
      <c r="J12" s="11">
        <f t="shared" si="5"/>
        <v>2.5000000000000001E-2</v>
      </c>
      <c r="K12" s="11">
        <f t="shared" si="5"/>
        <v>2.5000000000000001E-2</v>
      </c>
      <c r="L12" s="11">
        <f t="shared" si="5"/>
        <v>2.5000000000000001E-2</v>
      </c>
      <c r="M12" s="11">
        <f t="shared" ref="M12:N12" si="6">L12</f>
        <v>2.5000000000000001E-2</v>
      </c>
      <c r="N12" s="11">
        <f t="shared" si="6"/>
        <v>2.5000000000000001E-2</v>
      </c>
    </row>
    <row r="13" spans="1:14" x14ac:dyDescent="0.25">
      <c r="A13" t="s">
        <v>25</v>
      </c>
      <c r="C13" s="11">
        <f t="shared" ref="C13:C14" si="7">C8/B8-1</f>
        <v>4.4609665427509215E-2</v>
      </c>
      <c r="D13" s="11">
        <v>4.4999999999999998E-2</v>
      </c>
      <c r="E13" s="11">
        <f t="shared" si="5"/>
        <v>4.4999999999999998E-2</v>
      </c>
      <c r="F13" s="11">
        <f t="shared" si="5"/>
        <v>4.4999999999999998E-2</v>
      </c>
      <c r="G13" s="11">
        <f t="shared" si="5"/>
        <v>4.4999999999999998E-2</v>
      </c>
      <c r="H13" s="11">
        <f t="shared" si="5"/>
        <v>4.4999999999999998E-2</v>
      </c>
      <c r="I13" s="11">
        <f t="shared" si="5"/>
        <v>4.4999999999999998E-2</v>
      </c>
      <c r="J13" s="11">
        <f t="shared" si="5"/>
        <v>4.4999999999999998E-2</v>
      </c>
      <c r="K13" s="11">
        <f t="shared" si="5"/>
        <v>4.4999999999999998E-2</v>
      </c>
      <c r="L13" s="11">
        <f t="shared" si="5"/>
        <v>4.4999999999999998E-2</v>
      </c>
      <c r="M13" s="11">
        <f t="shared" ref="M13:N13" si="8">L13</f>
        <v>4.4999999999999998E-2</v>
      </c>
      <c r="N13" s="11">
        <f t="shared" si="8"/>
        <v>4.4999999999999998E-2</v>
      </c>
    </row>
    <row r="14" spans="1:14" x14ac:dyDescent="0.25">
      <c r="A14" t="s">
        <v>28</v>
      </c>
      <c r="C14" s="11">
        <f t="shared" si="7"/>
        <v>1.0713471620697579E-2</v>
      </c>
      <c r="D14" s="11">
        <v>2.5000000000000001E-2</v>
      </c>
      <c r="E14" s="11">
        <f t="shared" si="5"/>
        <v>2.5000000000000001E-2</v>
      </c>
      <c r="F14" s="11">
        <f t="shared" si="5"/>
        <v>2.5000000000000001E-2</v>
      </c>
      <c r="G14" s="11">
        <f t="shared" si="5"/>
        <v>2.5000000000000001E-2</v>
      </c>
      <c r="H14" s="11">
        <f t="shared" si="5"/>
        <v>2.5000000000000001E-2</v>
      </c>
      <c r="I14" s="11">
        <f t="shared" si="5"/>
        <v>2.5000000000000001E-2</v>
      </c>
      <c r="J14" s="11">
        <f t="shared" si="5"/>
        <v>2.5000000000000001E-2</v>
      </c>
      <c r="K14" s="11">
        <f t="shared" si="5"/>
        <v>2.5000000000000001E-2</v>
      </c>
      <c r="L14" s="11">
        <f t="shared" si="5"/>
        <v>2.5000000000000001E-2</v>
      </c>
      <c r="M14" s="11">
        <f t="shared" ref="M14:N14" si="9">L14</f>
        <v>2.5000000000000001E-2</v>
      </c>
      <c r="N14" s="11">
        <f t="shared" si="9"/>
        <v>2.5000000000000001E-2</v>
      </c>
    </row>
    <row r="17" spans="1:14" x14ac:dyDescent="0.25">
      <c r="A17" t="s">
        <v>30</v>
      </c>
      <c r="B17" s="3" t="s">
        <v>2</v>
      </c>
      <c r="C17" s="4" t="s">
        <v>3</v>
      </c>
      <c r="D17" s="4" t="s">
        <v>4</v>
      </c>
      <c r="E17" s="5" t="s">
        <v>5</v>
      </c>
      <c r="F17" s="5" t="s">
        <v>6</v>
      </c>
      <c r="G17" s="4" t="s">
        <v>7</v>
      </c>
      <c r="H17" s="4" t="s">
        <v>8</v>
      </c>
      <c r="I17" s="5" t="s">
        <v>9</v>
      </c>
      <c r="J17" s="5" t="s">
        <v>10</v>
      </c>
      <c r="K17" s="4" t="s">
        <v>11</v>
      </c>
      <c r="L17" s="4" t="s">
        <v>12</v>
      </c>
      <c r="M17" s="5" t="s">
        <v>33</v>
      </c>
      <c r="N17" s="5" t="s">
        <v>39</v>
      </c>
    </row>
    <row r="18" spans="1:14" x14ac:dyDescent="0.25">
      <c r="A18" t="s">
        <v>40</v>
      </c>
      <c r="B18" s="12">
        <v>1.9E-2</v>
      </c>
      <c r="C18" s="12"/>
      <c r="D18" s="12"/>
      <c r="E18" s="12"/>
      <c r="F18" s="12"/>
      <c r="G18" s="12"/>
      <c r="H18" s="12"/>
      <c r="I18" s="12"/>
      <c r="J18" s="12"/>
      <c r="K18" s="12"/>
      <c r="L18" s="12"/>
    </row>
    <row r="19" spans="1:14" x14ac:dyDescent="0.25">
      <c r="A19" t="s">
        <v>41</v>
      </c>
    </row>
    <row r="20" spans="1:14" x14ac:dyDescent="0.25">
      <c r="A20" s="20" t="s">
        <v>26</v>
      </c>
      <c r="B20" s="21">
        <v>8715</v>
      </c>
      <c r="C20" s="21">
        <v>9075</v>
      </c>
      <c r="D20" s="21">
        <f>C20*(1+D25)</f>
        <v>9347.25</v>
      </c>
      <c r="E20" s="21">
        <f t="shared" ref="E20:N20" si="10">D20*(1+E25)</f>
        <v>9627.6674999999996</v>
      </c>
      <c r="F20" s="21">
        <f t="shared" si="10"/>
        <v>9916.4975250000007</v>
      </c>
      <c r="G20" s="21">
        <f t="shared" si="10"/>
        <v>10213.992450750002</v>
      </c>
      <c r="H20" s="21">
        <f t="shared" si="10"/>
        <v>10520.412224272502</v>
      </c>
      <c r="I20" s="21">
        <f t="shared" si="10"/>
        <v>10836.024591000678</v>
      </c>
      <c r="J20" s="21">
        <f t="shared" si="10"/>
        <v>11161.105328730699</v>
      </c>
      <c r="K20" s="21">
        <f t="shared" si="10"/>
        <v>11495.938488592619</v>
      </c>
      <c r="L20" s="21">
        <f t="shared" si="10"/>
        <v>11840.816643250399</v>
      </c>
      <c r="M20" s="21">
        <f t="shared" si="10"/>
        <v>12196.041142547911</v>
      </c>
      <c r="N20" s="21">
        <f t="shared" si="10"/>
        <v>12561.922376824348</v>
      </c>
    </row>
    <row r="21" spans="1:14" x14ac:dyDescent="0.25">
      <c r="A21" t="s">
        <v>24</v>
      </c>
      <c r="B21" s="15">
        <v>9324</v>
      </c>
      <c r="C21" s="15">
        <v>9530</v>
      </c>
      <c r="D21" s="22">
        <f>C21*(1+D26)</f>
        <v>9768.25</v>
      </c>
      <c r="E21" s="22">
        <f t="shared" ref="E21:N21" si="11">D21*(1+E26)</f>
        <v>10012.456249999999</v>
      </c>
      <c r="F21" s="22">
        <f t="shared" si="11"/>
        <v>10262.767656249998</v>
      </c>
      <c r="G21" s="22">
        <f t="shared" si="11"/>
        <v>10519.336847656246</v>
      </c>
      <c r="H21" s="22">
        <f t="shared" si="11"/>
        <v>10782.320268847652</v>
      </c>
      <c r="I21" s="22">
        <f t="shared" si="11"/>
        <v>11051.878275568843</v>
      </c>
      <c r="J21" s="22">
        <f t="shared" si="11"/>
        <v>11328.175232458063</v>
      </c>
      <c r="K21" s="22">
        <f t="shared" si="11"/>
        <v>11611.379613269513</v>
      </c>
      <c r="L21" s="22">
        <f t="shared" si="11"/>
        <v>11901.66410360125</v>
      </c>
      <c r="M21" s="22">
        <f t="shared" si="11"/>
        <v>12199.20570619128</v>
      </c>
      <c r="N21" s="22">
        <f t="shared" si="11"/>
        <v>12504.18584884606</v>
      </c>
    </row>
    <row r="22" spans="1:14" x14ac:dyDescent="0.25">
      <c r="A22" s="20" t="s">
        <v>27</v>
      </c>
      <c r="B22" s="21">
        <v>27195</v>
      </c>
      <c r="C22" s="21">
        <v>27735</v>
      </c>
      <c r="D22" s="21">
        <f t="shared" ref="D22:N22" si="12">C22*(1+D27)</f>
        <v>28012.35</v>
      </c>
      <c r="E22" s="21">
        <f t="shared" si="12"/>
        <v>28292.4735</v>
      </c>
      <c r="F22" s="21">
        <f t="shared" si="12"/>
        <v>28575.398235000001</v>
      </c>
      <c r="G22" s="21">
        <f t="shared" si="12"/>
        <v>28861.152217350002</v>
      </c>
      <c r="H22" s="21">
        <f t="shared" si="12"/>
        <v>29149.763739523503</v>
      </c>
      <c r="I22" s="21">
        <f t="shared" si="12"/>
        <v>29441.261376918737</v>
      </c>
      <c r="J22" s="21">
        <f t="shared" si="12"/>
        <v>29735.673990687927</v>
      </c>
      <c r="K22" s="21">
        <f t="shared" si="12"/>
        <v>30033.030730594804</v>
      </c>
      <c r="L22" s="21">
        <f t="shared" si="12"/>
        <v>30333.361037900751</v>
      </c>
      <c r="M22" s="21">
        <f t="shared" si="12"/>
        <v>30636.694648279758</v>
      </c>
      <c r="N22" s="21">
        <f t="shared" si="12"/>
        <v>30943.061594762556</v>
      </c>
    </row>
    <row r="23" spans="1:14" x14ac:dyDescent="0.25">
      <c r="A23" t="s">
        <v>24</v>
      </c>
      <c r="B23" s="15">
        <v>27658</v>
      </c>
      <c r="C23" s="15">
        <v>28215</v>
      </c>
      <c r="D23" s="22">
        <f>C23*(1+D28)</f>
        <v>28920.374999999996</v>
      </c>
      <c r="E23" s="22">
        <f t="shared" ref="E23:N23" si="13">D23*(1+E28)</f>
        <v>29643.384374999994</v>
      </c>
      <c r="F23" s="22">
        <f t="shared" si="13"/>
        <v>30384.468984374991</v>
      </c>
      <c r="G23" s="22">
        <f t="shared" si="13"/>
        <v>31144.080708984362</v>
      </c>
      <c r="H23" s="22">
        <f t="shared" si="13"/>
        <v>31922.682726708968</v>
      </c>
      <c r="I23" s="22">
        <f t="shared" si="13"/>
        <v>32720.74979487669</v>
      </c>
      <c r="J23" s="22">
        <f t="shared" si="13"/>
        <v>33538.768539748606</v>
      </c>
      <c r="K23" s="22">
        <f t="shared" si="13"/>
        <v>34377.23775324232</v>
      </c>
      <c r="L23" s="22">
        <f t="shared" si="13"/>
        <v>35236.668697073372</v>
      </c>
      <c r="M23" s="22">
        <f t="shared" si="13"/>
        <v>36117.585414500201</v>
      </c>
      <c r="N23" s="22">
        <f t="shared" si="13"/>
        <v>37020.525049862707</v>
      </c>
    </row>
    <row r="25" spans="1:14" x14ac:dyDescent="0.25">
      <c r="A25" t="s">
        <v>26</v>
      </c>
      <c r="C25" s="11">
        <f>C20/B20-1</f>
        <v>4.1308089500860623E-2</v>
      </c>
      <c r="D25" s="11">
        <v>0.03</v>
      </c>
      <c r="E25" s="11">
        <f t="shared" ref="E25:L25" si="14">D25</f>
        <v>0.03</v>
      </c>
      <c r="F25" s="11">
        <f t="shared" si="14"/>
        <v>0.03</v>
      </c>
      <c r="G25" s="11">
        <f t="shared" si="14"/>
        <v>0.03</v>
      </c>
      <c r="H25" s="11">
        <f t="shared" si="14"/>
        <v>0.03</v>
      </c>
      <c r="I25" s="11">
        <f t="shared" si="14"/>
        <v>0.03</v>
      </c>
      <c r="J25" s="11">
        <f t="shared" si="14"/>
        <v>0.03</v>
      </c>
      <c r="K25" s="11">
        <f t="shared" si="14"/>
        <v>0.03</v>
      </c>
      <c r="L25" s="11">
        <f t="shared" si="14"/>
        <v>0.03</v>
      </c>
      <c r="M25" s="11">
        <f t="shared" ref="M25:N25" si="15">L25</f>
        <v>0.03</v>
      </c>
      <c r="N25" s="11">
        <f t="shared" si="15"/>
        <v>0.03</v>
      </c>
    </row>
    <row r="26" spans="1:14" x14ac:dyDescent="0.25">
      <c r="A26" t="s">
        <v>24</v>
      </c>
      <c r="C26" s="11">
        <f>C21/B21-1</f>
        <v>2.2093522093522111E-2</v>
      </c>
      <c r="D26" s="11">
        <v>2.5000000000000001E-2</v>
      </c>
      <c r="E26" s="11">
        <f t="shared" ref="E26:L26" si="16">D26</f>
        <v>2.5000000000000001E-2</v>
      </c>
      <c r="F26" s="11">
        <f t="shared" si="16"/>
        <v>2.5000000000000001E-2</v>
      </c>
      <c r="G26" s="11">
        <f t="shared" si="16"/>
        <v>2.5000000000000001E-2</v>
      </c>
      <c r="H26" s="11">
        <f t="shared" si="16"/>
        <v>2.5000000000000001E-2</v>
      </c>
      <c r="I26" s="11">
        <f t="shared" si="16"/>
        <v>2.5000000000000001E-2</v>
      </c>
      <c r="J26" s="11">
        <f t="shared" si="16"/>
        <v>2.5000000000000001E-2</v>
      </c>
      <c r="K26" s="11">
        <f t="shared" si="16"/>
        <v>2.5000000000000001E-2</v>
      </c>
      <c r="L26" s="11">
        <f t="shared" si="16"/>
        <v>2.5000000000000001E-2</v>
      </c>
      <c r="M26" s="11">
        <f t="shared" ref="M26:N26" si="17">L26</f>
        <v>2.5000000000000001E-2</v>
      </c>
      <c r="N26" s="11">
        <f t="shared" si="17"/>
        <v>2.5000000000000001E-2</v>
      </c>
    </row>
    <row r="27" spans="1:14" x14ac:dyDescent="0.25">
      <c r="A27" t="s">
        <v>27</v>
      </c>
      <c r="C27" s="11">
        <f t="shared" ref="C27:C28" si="18">C22/B22-1</f>
        <v>1.9856591285162706E-2</v>
      </c>
      <c r="D27" s="11">
        <v>0.01</v>
      </c>
      <c r="E27" s="11">
        <f t="shared" ref="E27:L27" si="19">D27</f>
        <v>0.01</v>
      </c>
      <c r="F27" s="11">
        <f t="shared" si="19"/>
        <v>0.01</v>
      </c>
      <c r="G27" s="11">
        <f t="shared" si="19"/>
        <v>0.01</v>
      </c>
      <c r="H27" s="11">
        <f t="shared" si="19"/>
        <v>0.01</v>
      </c>
      <c r="I27" s="11">
        <f t="shared" si="19"/>
        <v>0.01</v>
      </c>
      <c r="J27" s="11">
        <f t="shared" si="19"/>
        <v>0.01</v>
      </c>
      <c r="K27" s="11">
        <f t="shared" si="19"/>
        <v>0.01</v>
      </c>
      <c r="L27" s="11">
        <f t="shared" si="19"/>
        <v>0.01</v>
      </c>
      <c r="M27" s="11">
        <f t="shared" ref="M27:N27" si="20">L27</f>
        <v>0.01</v>
      </c>
      <c r="N27" s="11">
        <f t="shared" si="20"/>
        <v>0.01</v>
      </c>
    </row>
    <row r="28" spans="1:14" x14ac:dyDescent="0.25">
      <c r="A28" t="s">
        <v>24</v>
      </c>
      <c r="C28" s="11">
        <f t="shared" si="18"/>
        <v>2.0138838672355108E-2</v>
      </c>
      <c r="D28" s="11">
        <v>2.5000000000000001E-2</v>
      </c>
      <c r="E28" s="11">
        <f t="shared" ref="E28:L28" si="21">D28</f>
        <v>2.5000000000000001E-2</v>
      </c>
      <c r="F28" s="11">
        <f t="shared" si="21"/>
        <v>2.5000000000000001E-2</v>
      </c>
      <c r="G28" s="11">
        <f t="shared" si="21"/>
        <v>2.5000000000000001E-2</v>
      </c>
      <c r="H28" s="11">
        <f t="shared" si="21"/>
        <v>2.5000000000000001E-2</v>
      </c>
      <c r="I28" s="11">
        <f t="shared" si="21"/>
        <v>2.5000000000000001E-2</v>
      </c>
      <c r="J28" s="11">
        <f t="shared" si="21"/>
        <v>2.5000000000000001E-2</v>
      </c>
      <c r="K28" s="11">
        <f t="shared" si="21"/>
        <v>2.5000000000000001E-2</v>
      </c>
      <c r="L28" s="11">
        <f t="shared" si="21"/>
        <v>2.5000000000000001E-2</v>
      </c>
      <c r="M28" s="11">
        <f t="shared" ref="M28:N28" si="22">L28</f>
        <v>2.5000000000000001E-2</v>
      </c>
      <c r="N28" s="11">
        <f t="shared" si="22"/>
        <v>2.5000000000000001E-2</v>
      </c>
    </row>
    <row r="29" spans="1:14" x14ac:dyDescent="0.25">
      <c r="B29" s="13"/>
    </row>
    <row r="31" spans="1:14" x14ac:dyDescent="0.25">
      <c r="A31" s="2" t="s">
        <v>32</v>
      </c>
      <c r="B31" s="3" t="s">
        <v>2</v>
      </c>
      <c r="C31" s="4" t="s">
        <v>3</v>
      </c>
      <c r="D31" s="4" t="s">
        <v>4</v>
      </c>
      <c r="E31" s="5" t="s">
        <v>5</v>
      </c>
      <c r="F31" s="5" t="s">
        <v>6</v>
      </c>
      <c r="G31" s="4" t="s">
        <v>7</v>
      </c>
      <c r="H31" s="4" t="s">
        <v>8</v>
      </c>
      <c r="I31" s="5" t="s">
        <v>9</v>
      </c>
      <c r="J31" s="5" t="s">
        <v>10</v>
      </c>
      <c r="K31" s="4" t="s">
        <v>11</v>
      </c>
      <c r="L31" s="4" t="s">
        <v>12</v>
      </c>
      <c r="M31" s="5" t="s">
        <v>33</v>
      </c>
      <c r="N31" s="5" t="s">
        <v>39</v>
      </c>
    </row>
    <row r="32" spans="1:14" x14ac:dyDescent="0.25">
      <c r="A32" s="2"/>
      <c r="B32" s="6"/>
      <c r="C32" s="7"/>
      <c r="D32" s="7"/>
      <c r="E32" s="8"/>
      <c r="F32" s="8"/>
      <c r="G32" s="7"/>
      <c r="H32" s="7"/>
      <c r="I32" s="8"/>
      <c r="J32" s="8"/>
      <c r="K32" s="7"/>
      <c r="L32" s="7"/>
    </row>
    <row r="33" spans="1:12" x14ac:dyDescent="0.25">
      <c r="A33" s="16" t="s">
        <v>13</v>
      </c>
      <c r="B33">
        <v>34</v>
      </c>
      <c r="C33">
        <v>36</v>
      </c>
      <c r="D33">
        <v>37</v>
      </c>
      <c r="E33">
        <v>37</v>
      </c>
      <c r="F33">
        <v>38</v>
      </c>
      <c r="G33">
        <v>38</v>
      </c>
      <c r="H33">
        <v>39</v>
      </c>
      <c r="I33">
        <v>40</v>
      </c>
      <c r="J33">
        <v>41</v>
      </c>
      <c r="K33">
        <v>41</v>
      </c>
      <c r="L33">
        <v>42</v>
      </c>
    </row>
    <row r="34" spans="1:12" x14ac:dyDescent="0.25">
      <c r="A34" s="16" t="s">
        <v>14</v>
      </c>
      <c r="B34">
        <v>431</v>
      </c>
      <c r="C34">
        <v>500</v>
      </c>
      <c r="D34">
        <v>500</v>
      </c>
      <c r="E34">
        <v>500</v>
      </c>
      <c r="F34">
        <v>525</v>
      </c>
      <c r="G34">
        <v>525</v>
      </c>
      <c r="H34">
        <v>530</v>
      </c>
      <c r="I34">
        <v>530</v>
      </c>
      <c r="J34">
        <v>535</v>
      </c>
      <c r="K34">
        <v>535</v>
      </c>
      <c r="L34">
        <v>540</v>
      </c>
    </row>
    <row r="35" spans="1:12" x14ac:dyDescent="0.25">
      <c r="A35" s="16" t="s">
        <v>15</v>
      </c>
      <c r="B35">
        <v>51</v>
      </c>
      <c r="C35">
        <v>53</v>
      </c>
      <c r="D35">
        <v>54</v>
      </c>
      <c r="E35">
        <v>54</v>
      </c>
      <c r="F35">
        <v>56</v>
      </c>
      <c r="G35">
        <v>56</v>
      </c>
      <c r="H35">
        <v>58</v>
      </c>
      <c r="I35">
        <v>58</v>
      </c>
      <c r="J35">
        <v>60</v>
      </c>
      <c r="K35">
        <v>60</v>
      </c>
      <c r="L35">
        <v>62</v>
      </c>
    </row>
    <row r="36" spans="1:12" x14ac:dyDescent="0.25">
      <c r="A36" s="16" t="s">
        <v>16</v>
      </c>
      <c r="B36">
        <v>20</v>
      </c>
      <c r="C36">
        <v>21</v>
      </c>
      <c r="D36">
        <v>21</v>
      </c>
      <c r="E36">
        <v>21</v>
      </c>
      <c r="F36">
        <v>22</v>
      </c>
      <c r="G36">
        <v>22</v>
      </c>
      <c r="H36">
        <v>23</v>
      </c>
      <c r="I36">
        <v>23</v>
      </c>
      <c r="J36">
        <v>24</v>
      </c>
      <c r="K36">
        <v>24</v>
      </c>
      <c r="L36">
        <v>25</v>
      </c>
    </row>
    <row r="37" spans="1:12" x14ac:dyDescent="0.25">
      <c r="A37" s="16" t="s">
        <v>17</v>
      </c>
      <c r="B37">
        <v>20</v>
      </c>
      <c r="C37">
        <v>21</v>
      </c>
      <c r="D37">
        <v>21</v>
      </c>
      <c r="E37">
        <v>21</v>
      </c>
      <c r="F37">
        <v>22</v>
      </c>
      <c r="G37">
        <v>22</v>
      </c>
      <c r="H37">
        <v>23</v>
      </c>
      <c r="I37">
        <v>23</v>
      </c>
      <c r="J37">
        <v>24</v>
      </c>
      <c r="K37">
        <v>24</v>
      </c>
      <c r="L37">
        <v>25</v>
      </c>
    </row>
    <row r="38" spans="1:12" x14ac:dyDescent="0.25">
      <c r="A38" s="16" t="s">
        <v>18</v>
      </c>
      <c r="B38">
        <v>15</v>
      </c>
      <c r="C38">
        <v>16</v>
      </c>
      <c r="D38">
        <v>16</v>
      </c>
      <c r="E38">
        <v>16</v>
      </c>
      <c r="F38">
        <v>17</v>
      </c>
      <c r="G38">
        <v>17</v>
      </c>
      <c r="H38">
        <v>18</v>
      </c>
      <c r="I38">
        <v>18</v>
      </c>
      <c r="J38">
        <v>19</v>
      </c>
      <c r="K38">
        <v>19</v>
      </c>
      <c r="L38">
        <v>20</v>
      </c>
    </row>
    <row r="39" spans="1:12" x14ac:dyDescent="0.25">
      <c r="A39" s="17"/>
    </row>
    <row r="40" spans="1:12" x14ac:dyDescent="0.25">
      <c r="A40" s="18" t="s">
        <v>19</v>
      </c>
      <c r="B40">
        <v>55</v>
      </c>
      <c r="C40">
        <v>57</v>
      </c>
      <c r="D40">
        <v>58</v>
      </c>
      <c r="E40">
        <v>58</v>
      </c>
      <c r="F40">
        <v>61</v>
      </c>
      <c r="G40">
        <v>61</v>
      </c>
      <c r="H40">
        <v>64</v>
      </c>
      <c r="I40">
        <v>64</v>
      </c>
      <c r="J40">
        <v>66</v>
      </c>
      <c r="K40">
        <v>66</v>
      </c>
      <c r="L40">
        <v>68</v>
      </c>
    </row>
    <row r="41" spans="1:12" x14ac:dyDescent="0.25">
      <c r="A41" s="18" t="s">
        <v>20</v>
      </c>
      <c r="B41">
        <v>249</v>
      </c>
      <c r="C41">
        <v>255</v>
      </c>
      <c r="D41">
        <v>260</v>
      </c>
      <c r="E41">
        <v>260</v>
      </c>
      <c r="F41">
        <v>275</v>
      </c>
      <c r="G41">
        <v>275</v>
      </c>
      <c r="H41">
        <v>290</v>
      </c>
      <c r="I41">
        <v>290</v>
      </c>
      <c r="J41">
        <v>310</v>
      </c>
      <c r="K41">
        <v>310</v>
      </c>
      <c r="L41">
        <v>325</v>
      </c>
    </row>
    <row r="42" spans="1:12" x14ac:dyDescent="0.25">
      <c r="A42" s="18" t="s">
        <v>21</v>
      </c>
      <c r="B42">
        <v>63</v>
      </c>
      <c r="C42">
        <v>65</v>
      </c>
      <c r="D42">
        <v>66</v>
      </c>
      <c r="E42">
        <v>66</v>
      </c>
      <c r="F42">
        <v>70</v>
      </c>
      <c r="G42">
        <v>70</v>
      </c>
      <c r="H42">
        <v>73</v>
      </c>
      <c r="I42">
        <v>73</v>
      </c>
      <c r="J42">
        <v>76</v>
      </c>
      <c r="K42">
        <v>76</v>
      </c>
      <c r="L42">
        <v>80</v>
      </c>
    </row>
    <row r="43" spans="1:12" x14ac:dyDescent="0.25">
      <c r="A43" s="17"/>
    </row>
    <row r="44" spans="1:12" x14ac:dyDescent="0.25">
      <c r="A44" s="19" t="s">
        <v>22</v>
      </c>
      <c r="B44">
        <v>80</v>
      </c>
      <c r="C44">
        <v>80</v>
      </c>
      <c r="D44">
        <v>82</v>
      </c>
      <c r="E44">
        <v>82</v>
      </c>
      <c r="F44">
        <v>84</v>
      </c>
      <c r="G44">
        <v>84</v>
      </c>
      <c r="H44">
        <v>86</v>
      </c>
      <c r="I44">
        <v>86</v>
      </c>
      <c r="J44">
        <v>88</v>
      </c>
      <c r="K44">
        <v>88</v>
      </c>
      <c r="L44">
        <v>90</v>
      </c>
    </row>
    <row r="45" spans="1:12" x14ac:dyDescent="0.25">
      <c r="A45" s="17"/>
    </row>
    <row r="46" spans="1:12" x14ac:dyDescent="0.25">
      <c r="A46" s="16" t="s">
        <v>13</v>
      </c>
      <c r="C46" s="10">
        <v>5.8823529411764719E-2</v>
      </c>
      <c r="D46" s="10">
        <v>2.7777777777777679E-2</v>
      </c>
      <c r="E46" s="10">
        <v>0</v>
      </c>
      <c r="F46" s="10">
        <v>2.7027027027026973E-2</v>
      </c>
      <c r="G46" s="10">
        <v>0</v>
      </c>
      <c r="H46" s="10">
        <v>2.6315789473684292E-2</v>
      </c>
      <c r="I46" s="10">
        <v>2.564102564102555E-2</v>
      </c>
      <c r="J46" s="10">
        <v>2.4999999999999911E-2</v>
      </c>
      <c r="K46" s="10">
        <v>0</v>
      </c>
      <c r="L46" s="10">
        <v>2.4390243902439046E-2</v>
      </c>
    </row>
    <row r="47" spans="1:12" x14ac:dyDescent="0.25">
      <c r="A47" s="16" t="s">
        <v>14</v>
      </c>
      <c r="C47" s="10">
        <v>0.16009280742459397</v>
      </c>
      <c r="D47" s="10">
        <v>0</v>
      </c>
      <c r="E47" s="10">
        <v>0</v>
      </c>
      <c r="F47" s="10">
        <v>5.0000000000000044E-2</v>
      </c>
      <c r="G47" s="10">
        <v>0</v>
      </c>
      <c r="H47" s="10">
        <v>9.52380952380949E-3</v>
      </c>
      <c r="I47" s="10">
        <v>0</v>
      </c>
      <c r="J47" s="10">
        <v>9.4339622641510523E-3</v>
      </c>
      <c r="K47" s="10">
        <v>0</v>
      </c>
      <c r="L47" s="10">
        <v>9.3457943925232545E-3</v>
      </c>
    </row>
    <row r="48" spans="1:12" x14ac:dyDescent="0.25">
      <c r="A48" s="16" t="s">
        <v>15</v>
      </c>
      <c r="C48" s="10">
        <v>3.9215686274509887E-2</v>
      </c>
      <c r="D48" s="10">
        <v>1.8867924528301883E-2</v>
      </c>
      <c r="E48" s="10">
        <v>0</v>
      </c>
      <c r="F48" s="10">
        <v>3.7037037037036979E-2</v>
      </c>
      <c r="G48" s="10">
        <v>0</v>
      </c>
      <c r="H48" s="10">
        <v>3.5714285714285809E-2</v>
      </c>
      <c r="I48" s="10">
        <v>0</v>
      </c>
      <c r="J48" s="10">
        <v>3.4482758620689724E-2</v>
      </c>
      <c r="K48" s="10">
        <v>0</v>
      </c>
      <c r="L48" s="10">
        <v>3.3333333333333437E-2</v>
      </c>
    </row>
    <row r="49" spans="1:14" x14ac:dyDescent="0.25">
      <c r="A49" s="16" t="s">
        <v>16</v>
      </c>
      <c r="C49" s="10">
        <v>5.0000000000000044E-2</v>
      </c>
      <c r="D49" s="10">
        <v>0</v>
      </c>
      <c r="E49" s="10">
        <v>0</v>
      </c>
      <c r="F49" s="10">
        <v>4.7619047619047672E-2</v>
      </c>
      <c r="G49" s="10">
        <v>0</v>
      </c>
      <c r="H49" s="10">
        <v>4.5454545454545414E-2</v>
      </c>
      <c r="I49" s="10">
        <v>0</v>
      </c>
      <c r="J49" s="10">
        <v>4.3478260869565188E-2</v>
      </c>
      <c r="K49" s="10">
        <v>0</v>
      </c>
      <c r="L49" s="10">
        <v>4.1666666666666741E-2</v>
      </c>
    </row>
    <row r="50" spans="1:14" x14ac:dyDescent="0.25">
      <c r="A50" s="16" t="s">
        <v>17</v>
      </c>
      <c r="C50" s="10">
        <v>5.0000000000000044E-2</v>
      </c>
      <c r="D50" s="10">
        <v>0</v>
      </c>
      <c r="E50" s="10">
        <v>0</v>
      </c>
      <c r="F50" s="10">
        <v>4.7619047619047672E-2</v>
      </c>
      <c r="G50" s="10">
        <v>0</v>
      </c>
      <c r="H50" s="10">
        <v>4.5454545454545414E-2</v>
      </c>
      <c r="I50" s="10">
        <v>0</v>
      </c>
      <c r="J50" s="10">
        <v>4.3478260869565188E-2</v>
      </c>
      <c r="K50" s="10">
        <v>0</v>
      </c>
      <c r="L50" s="10">
        <v>4.1666666666666741E-2</v>
      </c>
    </row>
    <row r="51" spans="1:14" x14ac:dyDescent="0.25">
      <c r="A51" s="16" t="s">
        <v>18</v>
      </c>
      <c r="C51" s="10">
        <v>6.6666666666666652E-2</v>
      </c>
      <c r="D51" s="10">
        <v>0</v>
      </c>
      <c r="E51" s="10">
        <v>0</v>
      </c>
      <c r="F51" s="10">
        <v>6.25E-2</v>
      </c>
      <c r="G51" s="10">
        <v>0</v>
      </c>
      <c r="H51" s="10">
        <v>5.8823529411764719E-2</v>
      </c>
      <c r="I51" s="10">
        <v>0</v>
      </c>
      <c r="J51" s="10">
        <v>5.555555555555558E-2</v>
      </c>
      <c r="K51" s="10">
        <v>0</v>
      </c>
      <c r="L51" s="10">
        <v>5.2631578947368363E-2</v>
      </c>
    </row>
    <row r="52" spans="1:14" x14ac:dyDescent="0.25">
      <c r="A52" s="17"/>
    </row>
    <row r="53" spans="1:14" x14ac:dyDescent="0.25">
      <c r="A53" s="18" t="s">
        <v>19</v>
      </c>
      <c r="C53" s="10">
        <v>3.6363636363636376E-2</v>
      </c>
      <c r="D53" s="10">
        <v>1.7543859649122862E-2</v>
      </c>
      <c r="E53" s="10">
        <v>0</v>
      </c>
      <c r="F53" s="10">
        <v>5.1724137931034475E-2</v>
      </c>
      <c r="G53" s="10">
        <v>0</v>
      </c>
      <c r="H53" s="10">
        <v>4.9180327868852514E-2</v>
      </c>
      <c r="I53" s="10">
        <v>0</v>
      </c>
      <c r="J53" s="10">
        <v>3.125E-2</v>
      </c>
      <c r="K53" s="10">
        <v>0</v>
      </c>
      <c r="L53" s="10">
        <v>3.0303030303030276E-2</v>
      </c>
    </row>
    <row r="54" spans="1:14" x14ac:dyDescent="0.25">
      <c r="A54" s="18" t="s">
        <v>20</v>
      </c>
      <c r="C54" s="10">
        <v>2.4096385542168752E-2</v>
      </c>
      <c r="D54" s="10">
        <v>1.9607843137254832E-2</v>
      </c>
      <c r="E54" s="10">
        <v>0</v>
      </c>
      <c r="F54" s="10">
        <v>5.7692307692307709E-2</v>
      </c>
      <c r="G54" s="10">
        <v>0</v>
      </c>
      <c r="H54" s="10">
        <v>5.4545454545454453E-2</v>
      </c>
      <c r="I54" s="10">
        <v>0</v>
      </c>
      <c r="J54" s="10">
        <v>6.8965517241379226E-2</v>
      </c>
      <c r="K54" s="10">
        <v>0</v>
      </c>
      <c r="L54" s="10">
        <v>4.8387096774193505E-2</v>
      </c>
    </row>
    <row r="55" spans="1:14" x14ac:dyDescent="0.25">
      <c r="A55" s="18" t="s">
        <v>21</v>
      </c>
      <c r="C55" s="10">
        <v>3.1746031746031855E-2</v>
      </c>
      <c r="D55" s="10">
        <v>1.538461538461533E-2</v>
      </c>
      <c r="E55" s="10">
        <v>0</v>
      </c>
      <c r="F55" s="10">
        <v>6.0606060606060552E-2</v>
      </c>
      <c r="G55" s="10">
        <v>0</v>
      </c>
      <c r="H55" s="10">
        <v>4.2857142857142927E-2</v>
      </c>
      <c r="I55" s="10">
        <v>0</v>
      </c>
      <c r="J55" s="10">
        <v>4.1095890410958846E-2</v>
      </c>
      <c r="K55" s="10">
        <v>0</v>
      </c>
      <c r="L55" s="10">
        <v>5.2631578947368363E-2</v>
      </c>
    </row>
    <row r="57" spans="1:14" x14ac:dyDescent="0.25">
      <c r="A57" s="9" t="s">
        <v>22</v>
      </c>
      <c r="C57" s="10">
        <v>0</v>
      </c>
      <c r="D57" s="10">
        <v>2.4999999999999911E-2</v>
      </c>
      <c r="E57" s="10">
        <v>0</v>
      </c>
      <c r="F57" s="10">
        <v>2.4390243902439046E-2</v>
      </c>
      <c r="G57" s="10">
        <v>0</v>
      </c>
      <c r="H57" s="10">
        <v>2.3809523809523725E-2</v>
      </c>
      <c r="I57" s="10">
        <v>0</v>
      </c>
      <c r="J57" s="10">
        <v>2.3255813953488413E-2</v>
      </c>
      <c r="K57" s="10">
        <v>0</v>
      </c>
      <c r="L57" s="10">
        <v>2.2727272727272707E-2</v>
      </c>
    </row>
    <row r="60" spans="1:14" x14ac:dyDescent="0.25">
      <c r="A60" t="s">
        <v>35</v>
      </c>
    </row>
    <row r="61" spans="1:14" x14ac:dyDescent="0.25">
      <c r="B61" s="3" t="s">
        <v>2</v>
      </c>
      <c r="C61" s="4" t="s">
        <v>3</v>
      </c>
      <c r="D61" s="4" t="s">
        <v>4</v>
      </c>
      <c r="E61" s="5" t="s">
        <v>5</v>
      </c>
      <c r="F61" s="5" t="s">
        <v>6</v>
      </c>
      <c r="G61" s="4" t="s">
        <v>7</v>
      </c>
      <c r="H61" s="4" t="s">
        <v>8</v>
      </c>
      <c r="I61" s="5" t="s">
        <v>9</v>
      </c>
      <c r="J61" s="5" t="s">
        <v>10</v>
      </c>
      <c r="K61" s="4" t="s">
        <v>11</v>
      </c>
      <c r="L61" s="4" t="s">
        <v>12</v>
      </c>
      <c r="M61" s="5" t="s">
        <v>33</v>
      </c>
      <c r="N61" s="5" t="s">
        <v>34</v>
      </c>
    </row>
    <row r="62" spans="1:14" x14ac:dyDescent="0.25">
      <c r="A62" s="20" t="s">
        <v>37</v>
      </c>
      <c r="B62" s="21">
        <v>781</v>
      </c>
      <c r="C62" s="21">
        <v>792</v>
      </c>
      <c r="D62" s="21">
        <f>C62*(1+D68)</f>
        <v>807.84</v>
      </c>
      <c r="E62" s="21">
        <f t="shared" ref="E62:N63" si="23">D62*(1+E68)</f>
        <v>823.99680000000001</v>
      </c>
      <c r="F62" s="21">
        <f t="shared" si="23"/>
        <v>840.47673600000007</v>
      </c>
      <c r="G62" s="21">
        <f>F62*(1+G68)</f>
        <v>857.28627072000006</v>
      </c>
      <c r="H62" s="21">
        <f t="shared" si="23"/>
        <v>874.43199613440004</v>
      </c>
      <c r="I62" s="21">
        <f t="shared" si="23"/>
        <v>891.92063605708802</v>
      </c>
      <c r="J62" s="21">
        <f t="shared" si="23"/>
        <v>909.75904877822984</v>
      </c>
      <c r="K62" s="21">
        <f t="shared" si="23"/>
        <v>927.95422975379449</v>
      </c>
      <c r="L62" s="21">
        <f t="shared" si="23"/>
        <v>946.51331434887038</v>
      </c>
      <c r="M62" s="21">
        <f t="shared" si="23"/>
        <v>965.44358063584775</v>
      </c>
      <c r="N62" s="21">
        <f t="shared" si="23"/>
        <v>984.75245224856474</v>
      </c>
    </row>
    <row r="63" spans="1:14" x14ac:dyDescent="0.25">
      <c r="A63" t="s">
        <v>28</v>
      </c>
      <c r="B63" s="15">
        <v>627</v>
      </c>
      <c r="C63" s="15">
        <v>627</v>
      </c>
      <c r="D63" s="22">
        <f>C63*(1+D69)</f>
        <v>633.27</v>
      </c>
      <c r="E63" s="22">
        <f t="shared" si="23"/>
        <v>639.60270000000003</v>
      </c>
      <c r="F63" s="22">
        <f t="shared" si="23"/>
        <v>645.99872700000003</v>
      </c>
      <c r="G63" s="22">
        <f t="shared" si="23"/>
        <v>652.45871427000009</v>
      </c>
      <c r="H63" s="22">
        <f t="shared" si="23"/>
        <v>658.98330141270014</v>
      </c>
      <c r="I63" s="22">
        <f t="shared" si="23"/>
        <v>665.5731344268271</v>
      </c>
      <c r="J63" s="22">
        <f t="shared" si="23"/>
        <v>672.22886577109534</v>
      </c>
      <c r="K63" s="22">
        <f t="shared" si="23"/>
        <v>678.95115442880626</v>
      </c>
      <c r="L63" s="22">
        <f t="shared" si="23"/>
        <v>685.74066597309434</v>
      </c>
      <c r="M63" s="22">
        <f t="shared" si="23"/>
        <v>692.59807263282528</v>
      </c>
      <c r="N63" s="22">
        <f t="shared" si="23"/>
        <v>699.52405335915353</v>
      </c>
    </row>
    <row r="64" spans="1:14" x14ac:dyDescent="0.25">
      <c r="B64" s="15"/>
      <c r="C64" s="15"/>
      <c r="D64" s="15"/>
      <c r="E64" s="15"/>
      <c r="F64" s="15"/>
      <c r="G64" s="15"/>
      <c r="H64" s="15"/>
      <c r="I64" s="15"/>
      <c r="J64" s="15"/>
      <c r="K64" s="15"/>
      <c r="L64" s="15"/>
    </row>
    <row r="65" spans="1:14" x14ac:dyDescent="0.25">
      <c r="A65" s="20" t="s">
        <v>38</v>
      </c>
      <c r="B65" s="21">
        <v>420</v>
      </c>
      <c r="C65" s="21">
        <v>432</v>
      </c>
      <c r="D65" s="21">
        <f>C65*(1+D70)</f>
        <v>440.64</v>
      </c>
      <c r="E65" s="21">
        <f t="shared" ref="E65:N65" si="24">D65*(1+E70)</f>
        <v>449.45279999999997</v>
      </c>
      <c r="F65" s="21">
        <f t="shared" si="24"/>
        <v>458.44185599999997</v>
      </c>
      <c r="G65" s="21">
        <f t="shared" si="24"/>
        <v>467.61069312000001</v>
      </c>
      <c r="H65" s="21">
        <f t="shared" si="24"/>
        <v>476.9629069824</v>
      </c>
      <c r="I65" s="21">
        <f t="shared" si="24"/>
        <v>486.50216512204798</v>
      </c>
      <c r="J65" s="21">
        <f t="shared" si="24"/>
        <v>496.23220842448893</v>
      </c>
      <c r="K65" s="21">
        <f>J65*(1+K70)</f>
        <v>506.15685259297874</v>
      </c>
      <c r="L65" s="21">
        <f t="shared" si="24"/>
        <v>516.27998964483834</v>
      </c>
      <c r="M65" s="21">
        <f t="shared" si="24"/>
        <v>526.60558943773515</v>
      </c>
      <c r="N65" s="21">
        <f t="shared" si="24"/>
        <v>537.13770122648987</v>
      </c>
    </row>
    <row r="66" spans="1:14" x14ac:dyDescent="0.25">
      <c r="A66" t="s">
        <v>28</v>
      </c>
      <c r="B66" s="15">
        <v>437</v>
      </c>
      <c r="C66" s="15">
        <v>440</v>
      </c>
      <c r="D66" s="22">
        <f>C66*(1+D71)</f>
        <v>444.4</v>
      </c>
      <c r="E66" s="22">
        <f t="shared" ref="E66:N66" si="25">D66*(1+E71)</f>
        <v>448.84399999999999</v>
      </c>
      <c r="F66" s="22">
        <f t="shared" si="25"/>
        <v>453.33244000000002</v>
      </c>
      <c r="G66" s="22">
        <f t="shared" si="25"/>
        <v>457.86576440000005</v>
      </c>
      <c r="H66" s="22">
        <f t="shared" si="25"/>
        <v>462.44442204400008</v>
      </c>
      <c r="I66" s="22">
        <f t="shared" si="25"/>
        <v>467.06886626444009</v>
      </c>
      <c r="J66" s="22">
        <f t="shared" si="25"/>
        <v>471.7395549270845</v>
      </c>
      <c r="K66" s="22">
        <f t="shared" si="25"/>
        <v>476.45695047635536</v>
      </c>
      <c r="L66" s="22">
        <f t="shared" si="25"/>
        <v>481.22151998111894</v>
      </c>
      <c r="M66" s="22">
        <f t="shared" si="25"/>
        <v>486.03373518093014</v>
      </c>
      <c r="N66" s="22">
        <f t="shared" si="25"/>
        <v>490.89407253273941</v>
      </c>
    </row>
    <row r="68" spans="1:14" x14ac:dyDescent="0.25">
      <c r="A68" t="s">
        <v>23</v>
      </c>
      <c r="C68" s="11">
        <f>C62/B62-1</f>
        <v>1.4084507042253502E-2</v>
      </c>
      <c r="D68" s="11">
        <v>0.02</v>
      </c>
      <c r="E68" s="11">
        <f t="shared" ref="E68:L68" si="26">D68</f>
        <v>0.02</v>
      </c>
      <c r="F68" s="11">
        <f t="shared" si="26"/>
        <v>0.02</v>
      </c>
      <c r="G68" s="11">
        <f t="shared" si="26"/>
        <v>0.02</v>
      </c>
      <c r="H68" s="11">
        <f t="shared" si="26"/>
        <v>0.02</v>
      </c>
      <c r="I68" s="11">
        <f t="shared" si="26"/>
        <v>0.02</v>
      </c>
      <c r="J68" s="11">
        <f t="shared" si="26"/>
        <v>0.02</v>
      </c>
      <c r="K68" s="11">
        <f t="shared" si="26"/>
        <v>0.02</v>
      </c>
      <c r="L68" s="11">
        <f t="shared" si="26"/>
        <v>0.02</v>
      </c>
      <c r="M68" s="11">
        <f t="shared" ref="M68:N68" si="27">L68</f>
        <v>0.02</v>
      </c>
      <c r="N68" s="11">
        <f t="shared" si="27"/>
        <v>0.02</v>
      </c>
    </row>
    <row r="69" spans="1:14" x14ac:dyDescent="0.25">
      <c r="A69" t="s">
        <v>28</v>
      </c>
      <c r="C69" s="11">
        <f>C63/B63-1</f>
        <v>0</v>
      </c>
      <c r="D69" s="11">
        <v>0.01</v>
      </c>
      <c r="E69" s="11">
        <f t="shared" ref="E69:L69" si="28">D69</f>
        <v>0.01</v>
      </c>
      <c r="F69" s="11">
        <f t="shared" si="28"/>
        <v>0.01</v>
      </c>
      <c r="G69" s="11">
        <f t="shared" si="28"/>
        <v>0.01</v>
      </c>
      <c r="H69" s="11">
        <f t="shared" si="28"/>
        <v>0.01</v>
      </c>
      <c r="I69" s="11">
        <f t="shared" si="28"/>
        <v>0.01</v>
      </c>
      <c r="J69" s="11">
        <f t="shared" si="28"/>
        <v>0.01</v>
      </c>
      <c r="K69" s="11">
        <f t="shared" si="28"/>
        <v>0.01</v>
      </c>
      <c r="L69" s="11">
        <f t="shared" si="28"/>
        <v>0.01</v>
      </c>
      <c r="M69" s="11">
        <f t="shared" ref="M69:N69" si="29">L69</f>
        <v>0.01</v>
      </c>
      <c r="N69" s="11">
        <f t="shared" si="29"/>
        <v>0.01</v>
      </c>
    </row>
    <row r="70" spans="1:14" x14ac:dyDescent="0.25">
      <c r="A70" t="s">
        <v>25</v>
      </c>
      <c r="C70" s="11">
        <f t="shared" ref="C70:C71" si="30">C65/B65-1</f>
        <v>2.857142857142847E-2</v>
      </c>
      <c r="D70" s="11">
        <v>0.02</v>
      </c>
      <c r="E70" s="11">
        <f t="shared" ref="E70:L70" si="31">D70</f>
        <v>0.02</v>
      </c>
      <c r="F70" s="11">
        <f t="shared" si="31"/>
        <v>0.02</v>
      </c>
      <c r="G70" s="11">
        <f t="shared" si="31"/>
        <v>0.02</v>
      </c>
      <c r="H70" s="11">
        <f t="shared" si="31"/>
        <v>0.02</v>
      </c>
      <c r="I70" s="11">
        <f t="shared" si="31"/>
        <v>0.02</v>
      </c>
      <c r="J70" s="11">
        <f t="shared" si="31"/>
        <v>0.02</v>
      </c>
      <c r="K70" s="11">
        <f t="shared" si="31"/>
        <v>0.02</v>
      </c>
      <c r="L70" s="11">
        <f t="shared" si="31"/>
        <v>0.02</v>
      </c>
      <c r="M70" s="11">
        <f t="shared" ref="M70:N70" si="32">L70</f>
        <v>0.02</v>
      </c>
      <c r="N70" s="11">
        <f t="shared" si="32"/>
        <v>0.02</v>
      </c>
    </row>
    <row r="71" spans="1:14" x14ac:dyDescent="0.25">
      <c r="A71" t="s">
        <v>28</v>
      </c>
      <c r="C71" s="11">
        <f t="shared" si="30"/>
        <v>6.8649885583524917E-3</v>
      </c>
      <c r="D71" s="11">
        <v>0.01</v>
      </c>
      <c r="E71" s="11">
        <f t="shared" ref="E71:L71" si="33">D71</f>
        <v>0.01</v>
      </c>
      <c r="F71" s="11">
        <f t="shared" si="33"/>
        <v>0.01</v>
      </c>
      <c r="G71" s="11">
        <f t="shared" si="33"/>
        <v>0.01</v>
      </c>
      <c r="H71" s="11">
        <f t="shared" si="33"/>
        <v>0.01</v>
      </c>
      <c r="I71" s="11">
        <f t="shared" si="33"/>
        <v>0.01</v>
      </c>
      <c r="J71" s="11">
        <f t="shared" si="33"/>
        <v>0.01</v>
      </c>
      <c r="K71" s="11">
        <f t="shared" si="33"/>
        <v>0.01</v>
      </c>
      <c r="L71" s="11">
        <f t="shared" si="33"/>
        <v>0.01</v>
      </c>
      <c r="M71" s="11">
        <f t="shared" ref="M71:N71" si="34">L71</f>
        <v>0.01</v>
      </c>
      <c r="N71" s="11">
        <f t="shared" si="34"/>
        <v>0.01</v>
      </c>
    </row>
  </sheetData>
  <phoneticPr fontId="7" type="noConversion"/>
  <pageMargins left="0.7" right="0.7" top="0.75" bottom="0.75" header="0.3" footer="0.3"/>
  <pageSetup scale="66"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ColWidth="11" defaultRowHeight="15.75" x14ac:dyDescent="0.25"/>
  <cols>
    <col min="1" max="1" width="13.125" customWidth="1"/>
    <col min="2" max="2" width="19.625" customWidth="1"/>
    <col min="3" max="3" width="13.5" customWidth="1"/>
    <col min="4" max="4" width="12.625" customWidth="1"/>
    <col min="5" max="5" width="14.125" customWidth="1"/>
    <col min="6" max="14" width="12.625" customWidth="1"/>
  </cols>
  <sheetData>
    <row r="1" spans="1:14" x14ac:dyDescent="0.25">
      <c r="A1" t="s">
        <v>232</v>
      </c>
    </row>
    <row r="5" spans="1:14" ht="16.5" thickBot="1" x14ac:dyDescent="0.3">
      <c r="A5" s="142"/>
      <c r="B5" s="142"/>
      <c r="C5" s="117" t="s">
        <v>196</v>
      </c>
      <c r="D5" s="117" t="s">
        <v>197</v>
      </c>
      <c r="E5" s="117" t="s">
        <v>211</v>
      </c>
      <c r="F5" s="117" t="s">
        <v>212</v>
      </c>
      <c r="G5" s="117" t="s">
        <v>213</v>
      </c>
      <c r="H5" s="117" t="s">
        <v>214</v>
      </c>
      <c r="I5" s="117" t="s">
        <v>215</v>
      </c>
      <c r="J5" s="117" t="s">
        <v>216</v>
      </c>
      <c r="K5" s="117" t="s">
        <v>217</v>
      </c>
      <c r="L5" s="117" t="s">
        <v>218</v>
      </c>
      <c r="M5" s="117" t="s">
        <v>209</v>
      </c>
      <c r="N5" s="117" t="s">
        <v>210</v>
      </c>
    </row>
    <row r="6" spans="1:14" x14ac:dyDescent="0.25">
      <c r="A6" s="118" t="s">
        <v>183</v>
      </c>
      <c r="B6" s="81"/>
      <c r="C6" s="81"/>
      <c r="D6" s="81"/>
      <c r="E6" s="81"/>
      <c r="F6" s="81"/>
      <c r="G6" s="81"/>
      <c r="H6" s="81"/>
      <c r="I6" s="81"/>
      <c r="J6" s="81"/>
      <c r="K6" s="81"/>
      <c r="L6" s="81"/>
      <c r="M6" s="81"/>
      <c r="N6" s="81"/>
    </row>
    <row r="7" spans="1:14" x14ac:dyDescent="0.25">
      <c r="A7" s="81"/>
      <c r="B7" s="82" t="s">
        <v>149</v>
      </c>
      <c r="C7" s="120">
        <f>342527538-C8</f>
        <v>379967339</v>
      </c>
      <c r="D7" s="120">
        <v>365462355</v>
      </c>
      <c r="E7" s="120">
        <v>340648750</v>
      </c>
      <c r="F7" s="120">
        <v>315584610</v>
      </c>
      <c r="G7" s="120">
        <v>281996076.10000002</v>
      </c>
      <c r="H7" s="120">
        <v>245532771.36000001</v>
      </c>
      <c r="I7" s="120">
        <v>216510128.99000001</v>
      </c>
      <c r="J7" s="120">
        <v>182996520</v>
      </c>
      <c r="K7" s="120">
        <v>155803352.22999999</v>
      </c>
      <c r="L7" s="120">
        <v>143320910</v>
      </c>
      <c r="M7" s="120">
        <v>135593694.56999999</v>
      </c>
      <c r="N7" s="120">
        <v>127947208.7</v>
      </c>
    </row>
    <row r="8" spans="1:14" x14ac:dyDescent="0.25">
      <c r="A8" s="81"/>
      <c r="B8" s="81" t="s">
        <v>198</v>
      </c>
      <c r="C8" s="90">
        <v>-37439801</v>
      </c>
      <c r="D8" s="90">
        <v>-35388193</v>
      </c>
      <c r="E8" s="90">
        <v>-30593688</v>
      </c>
      <c r="F8" s="90">
        <v>-30471977</v>
      </c>
      <c r="G8" s="90">
        <v>-31818196.59</v>
      </c>
      <c r="H8" s="90">
        <v>-25321421</v>
      </c>
      <c r="I8" s="90">
        <v>-20903477.690000001</v>
      </c>
      <c r="J8" s="90">
        <v>-17280517</v>
      </c>
      <c r="K8" s="90">
        <v>-15339207</v>
      </c>
      <c r="L8" s="90">
        <v>-11448782</v>
      </c>
      <c r="M8" s="90">
        <v>-11692127</v>
      </c>
      <c r="N8" s="90">
        <v>-11158824</v>
      </c>
    </row>
    <row r="9" spans="1:14" x14ac:dyDescent="0.25">
      <c r="A9" s="81"/>
      <c r="B9" s="81" t="s">
        <v>199</v>
      </c>
      <c r="C9" s="90">
        <v>112828816</v>
      </c>
      <c r="D9" s="90">
        <v>107609126</v>
      </c>
      <c r="E9" s="90">
        <v>95758640</v>
      </c>
      <c r="F9" s="90">
        <v>86164723</v>
      </c>
      <c r="G9" s="90">
        <v>78125758</v>
      </c>
      <c r="H9" s="90">
        <v>73409013</v>
      </c>
      <c r="I9" s="90">
        <v>83560608.099999994</v>
      </c>
      <c r="J9" s="90">
        <v>85267907</v>
      </c>
      <c r="K9" s="90">
        <v>79209954</v>
      </c>
      <c r="L9" s="90">
        <v>101919501</v>
      </c>
      <c r="M9" s="90">
        <v>87834287</v>
      </c>
      <c r="N9" s="90">
        <v>84960456</v>
      </c>
    </row>
    <row r="10" spans="1:14" x14ac:dyDescent="0.25">
      <c r="A10" s="81"/>
      <c r="B10" s="81" t="s">
        <v>152</v>
      </c>
      <c r="C10" s="90">
        <v>38943993</v>
      </c>
      <c r="D10" s="90">
        <v>39347789</v>
      </c>
      <c r="E10" s="90">
        <v>37337726.560000002</v>
      </c>
      <c r="F10" s="90">
        <v>34195656</v>
      </c>
      <c r="G10" s="90">
        <v>34780919.259999998</v>
      </c>
      <c r="H10" s="90">
        <v>35281686</v>
      </c>
      <c r="I10" s="90">
        <v>12876044</v>
      </c>
      <c r="J10" s="90">
        <v>9241925</v>
      </c>
      <c r="K10" s="90">
        <v>17129935</v>
      </c>
      <c r="L10" s="90">
        <v>0</v>
      </c>
      <c r="M10" s="90">
        <v>24320350.030000001</v>
      </c>
      <c r="N10" s="90">
        <v>25104582</v>
      </c>
    </row>
    <row r="11" spans="1:14" x14ac:dyDescent="0.25">
      <c r="A11" s="81"/>
      <c r="B11" s="81" t="s">
        <v>200</v>
      </c>
      <c r="C11" s="90">
        <v>6259323</v>
      </c>
      <c r="D11" s="90">
        <v>3519598</v>
      </c>
      <c r="E11" s="90">
        <v>3107499.65</v>
      </c>
      <c r="F11" s="90">
        <v>2949827</v>
      </c>
      <c r="G11" s="90">
        <v>2600299.98</v>
      </c>
      <c r="H11" s="90">
        <v>1892919</v>
      </c>
      <c r="I11" s="90">
        <v>31165092.449999999</v>
      </c>
      <c r="J11" s="90">
        <v>29539734</v>
      </c>
      <c r="K11" s="90">
        <v>26096490</v>
      </c>
      <c r="L11" s="90">
        <v>26069808</v>
      </c>
      <c r="M11" s="90">
        <v>1311609.9300000002</v>
      </c>
      <c r="N11" s="90">
        <v>1264893</v>
      </c>
    </row>
    <row r="12" spans="1:14" x14ac:dyDescent="0.25">
      <c r="A12" s="81"/>
      <c r="B12" s="81" t="s">
        <v>154</v>
      </c>
      <c r="C12" s="90">
        <v>15419887</v>
      </c>
      <c r="D12" s="90">
        <v>15654151</v>
      </c>
      <c r="E12" s="90">
        <v>12561026.869999999</v>
      </c>
      <c r="F12" s="90">
        <v>12097989</v>
      </c>
      <c r="G12" s="90">
        <v>10727631.08</v>
      </c>
      <c r="H12" s="90">
        <v>10222160.91</v>
      </c>
      <c r="I12" s="90">
        <v>1636508.19</v>
      </c>
      <c r="J12" s="90">
        <v>1423356</v>
      </c>
      <c r="K12" s="90">
        <v>1466698</v>
      </c>
      <c r="L12" s="90">
        <v>1394477</v>
      </c>
      <c r="M12" s="90">
        <v>9052423.4600000009</v>
      </c>
      <c r="N12" s="90">
        <v>7540828.7199999997</v>
      </c>
    </row>
    <row r="13" spans="1:14" x14ac:dyDescent="0.25">
      <c r="A13" s="81"/>
      <c r="B13" s="81" t="s">
        <v>155</v>
      </c>
      <c r="C13" s="91">
        <v>3720986</v>
      </c>
      <c r="D13" s="91">
        <v>4335415</v>
      </c>
      <c r="E13" s="91">
        <v>5300788.74</v>
      </c>
      <c r="F13" s="91">
        <v>3382494</v>
      </c>
      <c r="G13" s="91">
        <v>3802009.8</v>
      </c>
      <c r="H13" s="91">
        <v>5569308.3700000001</v>
      </c>
      <c r="I13" s="91">
        <v>9860716.8699999992</v>
      </c>
      <c r="J13" s="91">
        <v>9287644</v>
      </c>
      <c r="K13" s="91">
        <v>8986335.4299999997</v>
      </c>
      <c r="L13" s="91">
        <v>8779221</v>
      </c>
      <c r="M13" s="91">
        <v>668101.6</v>
      </c>
      <c r="N13" s="91">
        <v>771168.31</v>
      </c>
    </row>
    <row r="14" spans="1:14" ht="16.5" thickBot="1" x14ac:dyDescent="0.3">
      <c r="A14" s="122" t="s">
        <v>201</v>
      </c>
      <c r="B14" s="81"/>
      <c r="C14" s="123">
        <f>ROUND(SUM(C7:C13),0)</f>
        <v>519700543</v>
      </c>
      <c r="D14" s="123">
        <f>SUM(D7:D13)</f>
        <v>500540241</v>
      </c>
      <c r="E14" s="123">
        <v>464120744</v>
      </c>
      <c r="F14" s="123">
        <v>423903322</v>
      </c>
      <c r="G14" s="123">
        <v>380214498</v>
      </c>
      <c r="H14" s="123">
        <v>346586437.64000005</v>
      </c>
      <c r="I14" s="123">
        <v>1769091.83</v>
      </c>
      <c r="J14" s="123">
        <v>1393541</v>
      </c>
      <c r="K14" s="123">
        <v>552307</v>
      </c>
      <c r="L14" s="123">
        <v>1000707</v>
      </c>
      <c r="M14" s="123">
        <v>247088340</v>
      </c>
      <c r="N14" s="123">
        <v>236430312.72999999</v>
      </c>
    </row>
    <row r="15" spans="1:14" x14ac:dyDescent="0.25">
      <c r="A15" s="81"/>
      <c r="B15" s="81"/>
      <c r="C15" s="81"/>
      <c r="D15" s="81"/>
      <c r="E15" s="81"/>
      <c r="F15" s="81"/>
      <c r="G15" s="81"/>
      <c r="H15" s="81"/>
      <c r="I15" s="81">
        <v>336474713</v>
      </c>
      <c r="J15" s="81">
        <v>301870110</v>
      </c>
      <c r="K15" s="81">
        <v>273905865</v>
      </c>
      <c r="L15" s="81">
        <v>271035842</v>
      </c>
      <c r="M15" s="81"/>
      <c r="N15" s="81"/>
    </row>
    <row r="16" spans="1:14" x14ac:dyDescent="0.25">
      <c r="A16" s="118" t="s">
        <v>202</v>
      </c>
      <c r="B16" s="81"/>
      <c r="C16" s="81"/>
      <c r="D16" s="81"/>
      <c r="E16" s="81"/>
      <c r="F16" s="81"/>
      <c r="G16" s="81"/>
      <c r="H16" s="81"/>
      <c r="I16" s="81"/>
      <c r="J16" s="81"/>
      <c r="K16" s="81"/>
      <c r="L16" s="81"/>
      <c r="M16" s="81"/>
      <c r="N16" s="81"/>
    </row>
    <row r="17" spans="1:14" x14ac:dyDescent="0.25">
      <c r="A17" s="81"/>
      <c r="B17" s="81" t="s">
        <v>142</v>
      </c>
      <c r="C17" s="90">
        <v>389213854</v>
      </c>
      <c r="D17" s="90">
        <v>368290982</v>
      </c>
      <c r="E17" s="90">
        <v>347818254.35000002</v>
      </c>
      <c r="F17" s="90">
        <v>327599142</v>
      </c>
      <c r="G17" s="90">
        <v>297916707.75999999</v>
      </c>
      <c r="H17" s="90">
        <v>276374567.72000003</v>
      </c>
      <c r="I17" s="90">
        <v>242889067.99999997</v>
      </c>
      <c r="J17" s="90">
        <v>214333836</v>
      </c>
      <c r="K17" s="90">
        <v>219635565.47999999</v>
      </c>
      <c r="L17" s="90">
        <v>199536495</v>
      </c>
      <c r="M17" s="90">
        <v>191105464.28999999</v>
      </c>
      <c r="N17" s="90">
        <v>187765400.43000001</v>
      </c>
    </row>
    <row r="18" spans="1:14" x14ac:dyDescent="0.25">
      <c r="A18" s="81"/>
      <c r="B18" s="81" t="s">
        <v>203</v>
      </c>
      <c r="C18" s="90">
        <v>95510738</v>
      </c>
      <c r="D18" s="90">
        <v>90110425</v>
      </c>
      <c r="E18" s="90">
        <v>83149811.629999995</v>
      </c>
      <c r="F18" s="90">
        <v>80054858</v>
      </c>
      <c r="G18" s="90">
        <v>76572241.25999999</v>
      </c>
      <c r="H18" s="90">
        <v>73298468.609999999</v>
      </c>
      <c r="I18" s="90">
        <v>71390887.980000004</v>
      </c>
      <c r="J18" s="90">
        <v>53243935</v>
      </c>
      <c r="K18" s="90">
        <v>57167572.149999999</v>
      </c>
      <c r="L18" s="90">
        <v>51316190</v>
      </c>
      <c r="M18" s="90">
        <v>44701231.019999996</v>
      </c>
      <c r="N18" s="90">
        <v>50164813.899999999</v>
      </c>
    </row>
    <row r="19" spans="1:14" x14ac:dyDescent="0.25">
      <c r="A19" s="81"/>
      <c r="B19" s="81" t="s">
        <v>86</v>
      </c>
      <c r="C19" s="90">
        <v>6706053</v>
      </c>
      <c r="D19" s="90">
        <v>6502562</v>
      </c>
      <c r="E19" s="90">
        <v>6113136.6799999997</v>
      </c>
      <c r="F19" s="90">
        <v>4564508</v>
      </c>
      <c r="G19" s="90">
        <v>8522964.1699999999</v>
      </c>
      <c r="H19" s="90">
        <v>15263918.050000001</v>
      </c>
      <c r="I19" s="90">
        <v>15141590.26</v>
      </c>
      <c r="J19" s="90">
        <v>4630767</v>
      </c>
      <c r="K19" s="90">
        <v>5700867.9900000002</v>
      </c>
      <c r="L19" s="90">
        <v>5150206</v>
      </c>
      <c r="M19" s="90">
        <v>4822436.1399999997</v>
      </c>
      <c r="N19" s="90">
        <v>5997215.75</v>
      </c>
    </row>
    <row r="20" spans="1:14" x14ac:dyDescent="0.25">
      <c r="A20" s="81"/>
      <c r="B20" s="81" t="s">
        <v>87</v>
      </c>
      <c r="C20" s="91">
        <v>893193</v>
      </c>
      <c r="D20" s="91">
        <v>1029295</v>
      </c>
      <c r="E20" s="91">
        <v>883855.81</v>
      </c>
      <c r="F20" s="91">
        <v>1136171</v>
      </c>
      <c r="G20" s="91">
        <v>1326319.3999999999</v>
      </c>
      <c r="H20" s="91">
        <v>567897</v>
      </c>
      <c r="I20" s="91">
        <v>243018</v>
      </c>
      <c r="J20" s="91">
        <v>123479</v>
      </c>
      <c r="K20" s="91">
        <v>210134</v>
      </c>
      <c r="L20" s="91">
        <v>251201</v>
      </c>
      <c r="M20" s="91">
        <v>240551.86</v>
      </c>
      <c r="N20" s="91">
        <v>167665</v>
      </c>
    </row>
    <row r="21" spans="1:14" x14ac:dyDescent="0.25">
      <c r="A21" s="122" t="s">
        <v>204</v>
      </c>
      <c r="B21" s="81"/>
      <c r="C21" s="124">
        <f>ROUND(SUM(C17:C20),0)</f>
        <v>492323838</v>
      </c>
      <c r="D21" s="124">
        <f>ROUND(SUM(D17:D20),0)</f>
        <v>465933264</v>
      </c>
      <c r="E21" s="124">
        <v>437965058</v>
      </c>
      <c r="F21" s="124">
        <v>413354679</v>
      </c>
      <c r="G21" s="124">
        <v>384338233</v>
      </c>
      <c r="H21" s="124">
        <v>365504851</v>
      </c>
      <c r="I21" s="124">
        <v>329664564</v>
      </c>
      <c r="J21" s="124">
        <v>272332017</v>
      </c>
      <c r="K21" s="124">
        <v>282714140</v>
      </c>
      <c r="L21" s="124">
        <v>256254092</v>
      </c>
      <c r="M21" s="124">
        <v>240869683</v>
      </c>
      <c r="N21" s="124">
        <v>244095095.08000001</v>
      </c>
    </row>
    <row r="22" spans="1:14" x14ac:dyDescent="0.25">
      <c r="A22" s="81"/>
      <c r="B22" s="81" t="s">
        <v>205</v>
      </c>
      <c r="C22" s="121">
        <f>C14-C21</f>
        <v>27376705</v>
      </c>
      <c r="D22" s="121">
        <f>ROUND(D14-D21,0)</f>
        <v>34606977</v>
      </c>
      <c r="E22" s="121">
        <v>26155686</v>
      </c>
      <c r="F22" s="121">
        <v>10548643</v>
      </c>
      <c r="G22" s="121">
        <v>-4123735</v>
      </c>
      <c r="H22" s="121">
        <v>-18918413</v>
      </c>
      <c r="I22" s="121">
        <v>6810149</v>
      </c>
      <c r="J22" s="121">
        <v>29538093</v>
      </c>
      <c r="K22" s="121">
        <v>-8808275</v>
      </c>
      <c r="L22" s="121">
        <v>14781750</v>
      </c>
      <c r="M22" s="121">
        <v>6218657</v>
      </c>
      <c r="N22" s="121">
        <v>-7664782.3500000238</v>
      </c>
    </row>
    <row r="23" spans="1:14" x14ac:dyDescent="0.25">
      <c r="A23" s="81"/>
      <c r="B23" s="81" t="s">
        <v>90</v>
      </c>
      <c r="C23" s="121">
        <v>2868961</v>
      </c>
      <c r="D23" s="121">
        <v>2501759</v>
      </c>
      <c r="E23" s="121">
        <v>1185533.6800000002</v>
      </c>
      <c r="F23" s="121">
        <v>3052100.3200000003</v>
      </c>
      <c r="G23" s="121"/>
      <c r="H23" s="121"/>
      <c r="I23" s="121"/>
      <c r="J23" s="121"/>
      <c r="K23" s="121"/>
      <c r="L23" s="121"/>
      <c r="M23" s="121"/>
      <c r="N23" s="121"/>
    </row>
    <row r="24" spans="1:14" x14ac:dyDescent="0.25">
      <c r="A24" s="81"/>
      <c r="B24" s="81" t="s">
        <v>91</v>
      </c>
      <c r="C24" s="91">
        <v>-16113646</v>
      </c>
      <c r="D24" s="91">
        <v>-15739102</v>
      </c>
      <c r="E24" s="91">
        <f>-13469391.65-136000</f>
        <v>-13605391.65</v>
      </c>
      <c r="F24" s="91">
        <v>-12276307.870000001</v>
      </c>
      <c r="G24" s="91">
        <v>-4255362.0100000054</v>
      </c>
      <c r="H24" s="91">
        <v>-2403479</v>
      </c>
      <c r="I24" s="91">
        <v>2061250.45</v>
      </c>
      <c r="J24" s="91">
        <v>524200</v>
      </c>
      <c r="K24" s="91">
        <f>-4240977.83-216271</f>
        <v>-4457248.83</v>
      </c>
      <c r="L24" s="91">
        <v>-3343457</v>
      </c>
      <c r="M24" s="91">
        <v>-1676443.3599999957</v>
      </c>
      <c r="N24" s="91">
        <v>-2619497.0699999998</v>
      </c>
    </row>
    <row r="25" spans="1:14" x14ac:dyDescent="0.25">
      <c r="A25" s="125" t="s">
        <v>206</v>
      </c>
      <c r="B25" s="126"/>
      <c r="C25" s="127">
        <f>SUM(C22:C24)</f>
        <v>14132020</v>
      </c>
      <c r="D25" s="127">
        <f>SUM(D22:D24)</f>
        <v>21369634</v>
      </c>
      <c r="E25" s="127">
        <v>13871828.029999999</v>
      </c>
      <c r="F25" s="127">
        <v>1324435.4499999993</v>
      </c>
      <c r="G25" s="127">
        <v>-8379097</v>
      </c>
      <c r="H25" s="127">
        <v>-21321892</v>
      </c>
      <c r="I25" s="127">
        <v>8871399</v>
      </c>
      <c r="J25" s="127">
        <v>30062293</v>
      </c>
      <c r="K25" s="127">
        <v>-13049253</v>
      </c>
      <c r="L25" s="127">
        <v>11438293</v>
      </c>
      <c r="M25" s="127">
        <v>4542214</v>
      </c>
      <c r="N25" s="127">
        <v>-10284279.420000024</v>
      </c>
    </row>
    <row r="26" spans="1:14" x14ac:dyDescent="0.25">
      <c r="A26" s="128" t="s">
        <v>207</v>
      </c>
      <c r="B26" s="119"/>
      <c r="C26" s="121">
        <f>D27</f>
        <v>66526528</v>
      </c>
      <c r="D26" s="121">
        <v>45156894</v>
      </c>
      <c r="E26" s="121">
        <v>31421066.449999999</v>
      </c>
      <c r="F26" s="121">
        <v>30096631</v>
      </c>
      <c r="G26" s="121">
        <v>38475729</v>
      </c>
      <c r="H26" s="121">
        <v>59797621</v>
      </c>
      <c r="I26" s="121">
        <v>50926222.209999964</v>
      </c>
      <c r="J26" s="121">
        <v>20863929.209999964</v>
      </c>
      <c r="K26" s="121">
        <v>34129453</v>
      </c>
      <c r="L26" s="121">
        <v>22691160</v>
      </c>
      <c r="M26" s="121">
        <v>18148946</v>
      </c>
      <c r="N26" s="121">
        <v>28433225.399999991</v>
      </c>
    </row>
    <row r="27" spans="1:14" ht="16.5" thickBot="1" x14ac:dyDescent="0.3">
      <c r="A27" s="125" t="s">
        <v>208</v>
      </c>
      <c r="B27" s="118"/>
      <c r="C27" s="129">
        <f>SUM(C25:C26)</f>
        <v>80658548</v>
      </c>
      <c r="D27" s="129">
        <f>SUM(D25:D26)</f>
        <v>66526528</v>
      </c>
      <c r="E27" s="129">
        <v>45156894.479999997</v>
      </c>
      <c r="F27" s="129">
        <v>31421066.449999999</v>
      </c>
      <c r="G27" s="129">
        <v>30096632</v>
      </c>
      <c r="H27" s="129">
        <v>38475729</v>
      </c>
      <c r="I27" s="129">
        <v>59797621.209999964</v>
      </c>
      <c r="J27" s="129">
        <v>50926222.209999964</v>
      </c>
      <c r="K27" s="129">
        <v>20863929</v>
      </c>
      <c r="L27" s="129">
        <v>34129453</v>
      </c>
      <c r="M27" s="129">
        <v>22691160</v>
      </c>
      <c r="N27" s="129">
        <v>18148945.979999967</v>
      </c>
    </row>
    <row r="28" spans="1:14" ht="16.5" thickTop="1" x14ac:dyDescent="0.25">
      <c r="A28" s="90"/>
      <c r="B28" s="90"/>
      <c r="C28" s="133">
        <f>C27/C14</f>
        <v>0.155201969839004</v>
      </c>
      <c r="D28" s="133"/>
      <c r="E28" s="133"/>
      <c r="F28" s="133"/>
      <c r="G28" s="133"/>
      <c r="H28" s="133"/>
      <c r="I28" s="133"/>
      <c r="J28" s="133"/>
      <c r="K28" s="133"/>
      <c r="L28" s="133"/>
      <c r="M28" s="133"/>
      <c r="N28" s="133"/>
    </row>
    <row r="29" spans="1:14" x14ac:dyDescent="0.25">
      <c r="A29" s="90"/>
      <c r="B29" s="90"/>
      <c r="C29" s="133"/>
      <c r="D29" s="133"/>
      <c r="E29" s="133"/>
      <c r="F29" s="133"/>
      <c r="G29" s="133"/>
      <c r="H29" s="133"/>
      <c r="I29" s="133"/>
      <c r="J29" s="133"/>
      <c r="K29" s="133"/>
      <c r="L29" s="133"/>
      <c r="M29" s="133"/>
      <c r="N29" s="133"/>
    </row>
    <row r="30" spans="1:14" x14ac:dyDescent="0.25">
      <c r="A30" s="90" t="s">
        <v>221</v>
      </c>
      <c r="B30" s="90"/>
      <c r="C30" s="133">
        <v>2.2800000000000001E-2</v>
      </c>
      <c r="D30" s="133">
        <v>1.2999999999999999E-2</v>
      </c>
      <c r="E30" s="133">
        <v>1E-3</v>
      </c>
      <c r="F30" s="133">
        <v>1.6E-2</v>
      </c>
      <c r="G30" s="133">
        <v>1.4999999999999999E-2</v>
      </c>
      <c r="H30" s="133">
        <v>2.1000000000000001E-2</v>
      </c>
      <c r="I30" s="133">
        <v>3.2000000000000001E-2</v>
      </c>
      <c r="J30" s="133">
        <v>1.6E-2</v>
      </c>
      <c r="K30" s="133">
        <v>-4.0000000000000001E-3</v>
      </c>
      <c r="L30" s="133">
        <v>3.7999999999999999E-2</v>
      </c>
      <c r="M30" s="133">
        <v>2.8000000000000001E-2</v>
      </c>
      <c r="N30" s="133">
        <v>3.2000000000000001E-2</v>
      </c>
    </row>
    <row r="31" spans="1:14" x14ac:dyDescent="0.25">
      <c r="A31" s="90" t="s">
        <v>219</v>
      </c>
      <c r="B31" s="90"/>
      <c r="C31" s="133">
        <v>3.3399999999999999E-2</v>
      </c>
      <c r="D31" s="133">
        <v>2.3599999999999999E-2</v>
      </c>
      <c r="E31" s="133">
        <v>1.1599999999999999E-2</v>
      </c>
      <c r="F31" s="133">
        <v>2.6599999999999999E-2</v>
      </c>
      <c r="G31" s="133">
        <v>2.5599999999999998E-2</v>
      </c>
      <c r="H31" s="133">
        <v>3.1600000000000003E-2</v>
      </c>
      <c r="I31" s="133">
        <v>4.2599999999999999E-2</v>
      </c>
      <c r="J31" s="133">
        <v>2.6599999999999999E-2</v>
      </c>
      <c r="K31" s="133">
        <v>6.6E-3</v>
      </c>
      <c r="L31" s="133">
        <v>4.8599999999999997E-2</v>
      </c>
      <c r="M31" s="133">
        <v>3.8600000000000002E-2</v>
      </c>
      <c r="N31" s="133">
        <v>4.2599999999999999E-2</v>
      </c>
    </row>
    <row r="32" spans="1:14" x14ac:dyDescent="0.25">
      <c r="A32" s="90"/>
      <c r="B32" s="90"/>
      <c r="C32" s="90"/>
      <c r="D32" s="90"/>
      <c r="E32" s="90"/>
      <c r="F32" s="90"/>
      <c r="G32" s="90"/>
      <c r="H32" s="90"/>
      <c r="I32" s="90"/>
      <c r="J32" s="90"/>
      <c r="K32" s="90"/>
      <c r="L32" s="90"/>
      <c r="M32" s="90"/>
      <c r="N32" s="90"/>
    </row>
    <row r="33" spans="1:14" x14ac:dyDescent="0.25">
      <c r="A33" s="90" t="s">
        <v>222</v>
      </c>
      <c r="B33" s="90"/>
      <c r="C33" s="90"/>
      <c r="D33" s="90"/>
      <c r="E33" s="90"/>
      <c r="F33" s="90"/>
      <c r="G33" s="90"/>
      <c r="H33" s="90"/>
      <c r="I33" s="90"/>
      <c r="J33" s="90">
        <v>21969</v>
      </c>
      <c r="K33" s="90"/>
      <c r="L33" s="90"/>
      <c r="M33" s="90">
        <v>19362</v>
      </c>
      <c r="N33" s="90">
        <v>19236</v>
      </c>
    </row>
    <row r="34" spans="1:14" x14ac:dyDescent="0.25">
      <c r="A34" s="90" t="s">
        <v>223</v>
      </c>
      <c r="B34" s="90"/>
      <c r="C34" s="90"/>
      <c r="D34" s="90"/>
      <c r="E34" s="90"/>
      <c r="F34" s="90"/>
      <c r="G34" s="90"/>
      <c r="H34" s="90"/>
      <c r="I34" s="90"/>
      <c r="J34" s="90"/>
      <c r="K34" s="90"/>
      <c r="L34" s="90"/>
      <c r="M34" s="90">
        <v>1080</v>
      </c>
      <c r="N34" s="90">
        <v>984</v>
      </c>
    </row>
    <row r="35" spans="1:14" x14ac:dyDescent="0.25">
      <c r="A35" s="90" t="s">
        <v>224</v>
      </c>
      <c r="B35" s="90"/>
      <c r="C35" s="90"/>
      <c r="D35" s="90"/>
      <c r="E35" s="90"/>
      <c r="F35" s="90"/>
      <c r="G35" s="90"/>
      <c r="H35" s="90"/>
      <c r="I35" s="90"/>
      <c r="J35" s="90"/>
      <c r="K35" s="90"/>
      <c r="L35" s="90"/>
      <c r="M35" s="90"/>
      <c r="N35" s="90"/>
    </row>
    <row r="36" spans="1:14" x14ac:dyDescent="0.25">
      <c r="A36" s="90"/>
      <c r="B36" s="90"/>
      <c r="C36" s="90"/>
      <c r="D36" s="90"/>
      <c r="E36" s="90"/>
      <c r="F36" s="90"/>
      <c r="G36" s="90"/>
      <c r="H36" s="90"/>
      <c r="I36" s="90"/>
      <c r="J36" s="90"/>
      <c r="K36" s="90"/>
      <c r="L36" s="90"/>
      <c r="M36" s="90"/>
      <c r="N36" s="90"/>
    </row>
  </sheetData>
  <mergeCells count="1">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 on the Tool</vt:lpstr>
      <vt:lpstr>Expense Revenue Model</vt:lpstr>
      <vt:lpstr>Inflation</vt:lpstr>
      <vt:lpstr>Local Inflation</vt:lpstr>
      <vt:lpstr>State History</vt:lpstr>
      <vt:lpstr>Tuition Projection</vt:lpstr>
      <vt:lpstr>Marginal Cost w Growth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 Bloomer</dc:creator>
  <cp:lastModifiedBy>Karren</cp:lastModifiedBy>
  <dcterms:created xsi:type="dcterms:W3CDTF">2016-11-22T04:11:40Z</dcterms:created>
  <dcterms:modified xsi:type="dcterms:W3CDTF">2017-09-28T00:30:39Z</dcterms:modified>
</cp:coreProperties>
</file>